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Qualite\TS16949_V2002\ISO_EN_14001\Substances dangereuses\REACH-ROHS-CONFLICT MINERALS\CONFLICT MINERALS\Déclaration MGB 2025\"/>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9" i="5"/>
  <c r="T41"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X9" i="5"/>
  <c r="V10" i="5"/>
  <c r="R10" i="5" s="1"/>
  <c r="V11" i="5"/>
  <c r="X11" i="5"/>
  <c r="V12" i="5"/>
  <c r="X12" i="5"/>
  <c r="V13" i="5"/>
  <c r="X13" i="5"/>
  <c r="V14" i="5"/>
  <c r="X14" i="5"/>
  <c r="V15" i="5"/>
  <c r="R15" i="5" s="1"/>
  <c r="V16" i="5"/>
  <c r="X16" i="5"/>
  <c r="V17" i="5"/>
  <c r="R17" i="5" s="1"/>
  <c r="X17" i="5"/>
  <c r="V18" i="5"/>
  <c r="X18" i="5"/>
  <c r="V19" i="5"/>
  <c r="R19" i="5" s="1"/>
  <c r="X19" i="5"/>
  <c r="V20" i="5"/>
  <c r="X20" i="5"/>
  <c r="V21" i="5"/>
  <c r="X21" i="5"/>
  <c r="V22" i="5"/>
  <c r="R22" i="5" s="1"/>
  <c r="X22" i="5"/>
  <c r="V23" i="5"/>
  <c r="R23" i="5" s="1"/>
  <c r="X23" i="5"/>
  <c r="V24" i="5"/>
  <c r="V25" i="5"/>
  <c r="X25" i="5"/>
  <c r="V26" i="5"/>
  <c r="X26" i="5"/>
  <c r="V27" i="5"/>
  <c r="X27" i="5"/>
  <c r="V28" i="5"/>
  <c r="X28" i="5"/>
  <c r="V29" i="5"/>
  <c r="X29" i="5"/>
  <c r="V30" i="5"/>
  <c r="X30" i="5"/>
  <c r="V31" i="5"/>
  <c r="X31" i="5"/>
  <c r="V32" i="5"/>
  <c r="X32" i="5"/>
  <c r="V33" i="5"/>
  <c r="X33" i="5"/>
  <c r="V34" i="5"/>
  <c r="X34" i="5"/>
  <c r="V35" i="5"/>
  <c r="X35" i="5"/>
  <c r="V36" i="5"/>
  <c r="R36" i="5" s="1"/>
  <c r="V37" i="5"/>
  <c r="R37" i="5" s="1"/>
  <c r="X37" i="5"/>
  <c r="V38" i="5"/>
  <c r="R38" i="5" s="1"/>
  <c r="X38" i="5"/>
  <c r="V39" i="5"/>
  <c r="X39" i="5"/>
  <c r="V40" i="5"/>
  <c r="R40" i="5" s="1"/>
  <c r="X40" i="5"/>
  <c r="V41" i="5"/>
  <c r="V42" i="5"/>
  <c r="X42" i="5"/>
  <c r="V43" i="5"/>
  <c r="X43" i="5"/>
  <c r="V44" i="5"/>
  <c r="X44" i="5"/>
  <c r="V45" i="5"/>
  <c r="X45" i="5"/>
  <c r="V46" i="5"/>
  <c r="X46" i="5"/>
  <c r="V47" i="5"/>
  <c r="R47" i="5" s="1"/>
  <c r="X47" i="5"/>
  <c r="V48" i="5"/>
  <c r="X48" i="5"/>
  <c r="V49" i="5"/>
  <c r="X49" i="5"/>
  <c r="V50" i="5"/>
  <c r="X50" i="5"/>
  <c r="V51" i="5"/>
  <c r="X51" i="5"/>
  <c r="V52" i="5"/>
  <c r="R52" i="5" s="1"/>
  <c r="X52" i="5"/>
  <c r="V53" i="5"/>
  <c r="X53" i="5"/>
  <c r="V54" i="5"/>
  <c r="X54" i="5"/>
  <c r="V55" i="5"/>
  <c r="V56" i="5"/>
  <c r="R56" i="5" s="1"/>
  <c r="V57" i="5"/>
  <c r="X57" i="5"/>
  <c r="V58" i="5"/>
  <c r="R58" i="5" s="1"/>
  <c r="X58" i="5"/>
  <c r="V59" i="5"/>
  <c r="X59" i="5"/>
  <c r="V60" i="5"/>
  <c r="V61" i="5"/>
  <c r="R61" i="5" s="1"/>
  <c r="V62" i="5"/>
  <c r="X62" i="5"/>
  <c r="V63" i="5"/>
  <c r="X63" i="5"/>
  <c r="V64" i="5"/>
  <c r="X64" i="5"/>
  <c r="V65" i="5"/>
  <c r="X65" i="5"/>
  <c r="V66" i="5"/>
  <c r="X66" i="5"/>
  <c r="V67" i="5"/>
  <c r="X67" i="5"/>
  <c r="V68" i="5"/>
  <c r="X68" i="5"/>
  <c r="V69" i="5"/>
  <c r="R69" i="5" s="1"/>
  <c r="X69" i="5"/>
  <c r="V70" i="5"/>
  <c r="R70" i="5" s="1"/>
  <c r="X70" i="5"/>
  <c r="V71" i="5"/>
  <c r="X71" i="5"/>
  <c r="V72" i="5"/>
  <c r="X72" i="5"/>
  <c r="V73" i="5"/>
  <c r="X73" i="5"/>
  <c r="V74" i="5"/>
  <c r="R74" i="5" s="1"/>
  <c r="V75" i="5"/>
  <c r="R75" i="5" s="1"/>
  <c r="X75" i="5"/>
  <c r="V76" i="5"/>
  <c r="R76" i="5" s="1"/>
  <c r="X76" i="5"/>
  <c r="V77" i="5"/>
  <c r="X77" i="5"/>
  <c r="V78" i="5"/>
  <c r="R78" i="5" s="1"/>
  <c r="X78" i="5"/>
  <c r="V79" i="5"/>
  <c r="X79" i="5"/>
  <c r="V80" i="5"/>
  <c r="R80" i="5" s="1"/>
  <c r="V81" i="5"/>
  <c r="X81" i="5"/>
  <c r="V82" i="5"/>
  <c r="X82" i="5"/>
  <c r="V83" i="5"/>
  <c r="X83" i="5"/>
  <c r="V84" i="5"/>
  <c r="X84" i="5"/>
  <c r="V85" i="5"/>
  <c r="X85" i="5"/>
  <c r="V86" i="5"/>
  <c r="X86" i="5"/>
  <c r="V87" i="5"/>
  <c r="X87" i="5"/>
  <c r="V88" i="5"/>
  <c r="X88" i="5"/>
  <c r="V89" i="5"/>
  <c r="X89" i="5"/>
  <c r="V90" i="5"/>
  <c r="X90" i="5"/>
  <c r="V91" i="5"/>
  <c r="X91" i="5"/>
  <c r="V92" i="5"/>
  <c r="X92" i="5"/>
  <c r="V93" i="5"/>
  <c r="X93" i="5"/>
  <c r="V94" i="5"/>
  <c r="X94" i="5"/>
  <c r="V95" i="5"/>
  <c r="R95" i="5" s="1"/>
  <c r="V96" i="5"/>
  <c r="R96" i="5" s="1"/>
  <c r="X96" i="5"/>
  <c r="V97" i="5"/>
  <c r="R97" i="5" s="1"/>
  <c r="X97" i="5"/>
  <c r="V98" i="5"/>
  <c r="R98" i="5" s="1"/>
  <c r="X98" i="5"/>
  <c r="V99" i="5"/>
  <c r="X99" i="5"/>
  <c r="V100" i="5"/>
  <c r="X100" i="5"/>
  <c r="V101" i="5"/>
  <c r="R101" i="5" s="1"/>
  <c r="X101" i="5"/>
  <c r="V102" i="5"/>
  <c r="R102" i="5" s="1"/>
  <c r="X102" i="5"/>
  <c r="V103" i="5"/>
  <c r="X103" i="5"/>
  <c r="V104" i="5"/>
  <c r="V105" i="5"/>
  <c r="R105" i="5" s="1"/>
  <c r="X105" i="5"/>
  <c r="V106" i="5"/>
  <c r="X106" i="5"/>
  <c r="V107" i="5"/>
  <c r="X107" i="5"/>
  <c r="V108" i="5"/>
  <c r="X108" i="5"/>
  <c r="V109" i="5"/>
  <c r="X109" i="5"/>
  <c r="V110" i="5"/>
  <c r="X110" i="5"/>
  <c r="V111" i="5"/>
  <c r="R111" i="5" s="1"/>
  <c r="X111" i="5"/>
  <c r="V112" i="5"/>
  <c r="X112" i="5"/>
  <c r="V113" i="5"/>
  <c r="X113" i="5"/>
  <c r="V114" i="5"/>
  <c r="X114" i="5"/>
  <c r="V115" i="5"/>
  <c r="X115" i="5"/>
  <c r="V116" i="5"/>
  <c r="R116" i="5" s="1"/>
  <c r="X116" i="5"/>
  <c r="V117" i="5"/>
  <c r="X117" i="5"/>
  <c r="V118" i="5"/>
  <c r="X118" i="5"/>
  <c r="V119" i="5"/>
  <c r="X119" i="5"/>
  <c r="V120" i="5"/>
  <c r="V121" i="5"/>
  <c r="V122" i="5"/>
  <c r="R122" i="5" s="1"/>
  <c r="X122" i="5"/>
  <c r="V123" i="5"/>
  <c r="R123" i="5" s="1"/>
  <c r="X123" i="5"/>
  <c r="V124" i="5"/>
  <c r="X124" i="5"/>
  <c r="V125" i="5"/>
  <c r="R125" i="5" s="1"/>
  <c r="V126" i="5"/>
  <c r="R126" i="5" s="1"/>
  <c r="X126" i="5"/>
  <c r="V127" i="5"/>
  <c r="X127" i="5"/>
  <c r="V128" i="5"/>
  <c r="R128" i="5" s="1"/>
  <c r="X128" i="5"/>
  <c r="V129" i="5"/>
  <c r="R129" i="5" s="1"/>
  <c r="X129" i="5"/>
  <c r="V130" i="5"/>
  <c r="R130" i="5" s="1"/>
  <c r="X130" i="5"/>
  <c r="V131" i="5"/>
  <c r="X131" i="5"/>
  <c r="V132" i="5"/>
  <c r="X132" i="5"/>
  <c r="V133" i="5"/>
  <c r="R133" i="5" s="1"/>
  <c r="X133" i="5"/>
  <c r="V134" i="5"/>
  <c r="R134" i="5" s="1"/>
  <c r="X134" i="5"/>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V221" i="5"/>
  <c r="E221" i="5"/>
  <c r="X221" i="5" s="1"/>
  <c r="V222" i="5"/>
  <c r="E222" i="5"/>
  <c r="X222" i="5" s="1"/>
  <c r="V223" i="5"/>
  <c r="E223" i="5"/>
  <c r="X223" i="5" s="1"/>
  <c r="V224" i="5"/>
  <c r="E224" i="5"/>
  <c r="X224" i="5" s="1"/>
  <c r="V225" i="5"/>
  <c r="E225" i="5"/>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V292" i="5"/>
  <c r="E292" i="5"/>
  <c r="X292" i="5" s="1"/>
  <c r="V293" i="5"/>
  <c r="E293" i="5"/>
  <c r="X293" i="5" s="1"/>
  <c r="V294" i="5"/>
  <c r="E294" i="5"/>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V401" i="5"/>
  <c r="E401" i="5"/>
  <c r="X401" i="5" s="1"/>
  <c r="V402" i="5"/>
  <c r="E402" i="5"/>
  <c r="X402" i="5" s="1"/>
  <c r="V403" i="5"/>
  <c r="E403" i="5"/>
  <c r="X403" i="5" s="1"/>
  <c r="V404" i="5"/>
  <c r="E404" i="5"/>
  <c r="V405" i="5"/>
  <c r="E405" i="5"/>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V535" i="5"/>
  <c r="E535" i="5"/>
  <c r="X535" i="5" s="1"/>
  <c r="V536" i="5"/>
  <c r="E536" i="5"/>
  <c r="X536" i="5" s="1"/>
  <c r="V537" i="5"/>
  <c r="E537" i="5"/>
  <c r="X537" i="5" s="1"/>
  <c r="V538" i="5"/>
  <c r="E538" i="5"/>
  <c r="X538" i="5" s="1"/>
  <c r="V539" i="5"/>
  <c r="E539" i="5"/>
  <c r="X539" i="5" s="1"/>
  <c r="V540" i="5"/>
  <c r="E540" i="5"/>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X579" i="5" s="1"/>
  <c r="V580" i="5"/>
  <c r="E580" i="5"/>
  <c r="V581" i="5"/>
  <c r="E581" i="5"/>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X644" i="5" s="1"/>
  <c r="V645" i="5"/>
  <c r="E645" i="5"/>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V856" i="5"/>
  <c r="E856" i="5"/>
  <c r="X856" i="5" s="1"/>
  <c r="V857" i="5"/>
  <c r="E857" i="5"/>
  <c r="X857" i="5" s="1"/>
  <c r="V858" i="5"/>
  <c r="E858" i="5"/>
  <c r="X858" i="5" s="1"/>
  <c r="V859" i="5"/>
  <c r="E859" i="5"/>
  <c r="X859" i="5" s="1"/>
  <c r="V860" i="5"/>
  <c r="E860" i="5"/>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V965" i="5"/>
  <c r="E965" i="5"/>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V986" i="5"/>
  <c r="E986" i="5"/>
  <c r="X986" i="5" s="1"/>
  <c r="V987" i="5"/>
  <c r="E987" i="5"/>
  <c r="X987" i="5" s="1"/>
  <c r="V988" i="5"/>
  <c r="E988" i="5"/>
  <c r="X988" i="5" s="1"/>
  <c r="V989" i="5"/>
  <c r="E989" i="5"/>
  <c r="X989" i="5" s="1"/>
  <c r="V990" i="5"/>
  <c r="E990" i="5"/>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V1790" i="5"/>
  <c r="E1790" i="5"/>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R121" i="5"/>
  <c r="R92" i="5"/>
  <c r="R88" i="5"/>
  <c r="R85" i="5"/>
  <c r="R84" i="5"/>
  <c r="R82" i="5"/>
  <c r="R81" i="5"/>
  <c r="X74" i="5"/>
  <c r="R72" i="5"/>
  <c r="R68" i="5"/>
  <c r="R66" i="5"/>
  <c r="R65" i="5"/>
  <c r="R64" i="5"/>
  <c r="R62" i="5"/>
  <c r="R60" i="5"/>
  <c r="R53" i="5"/>
  <c r="R50" i="5"/>
  <c r="R49" i="5"/>
  <c r="R48" i="5"/>
  <c r="R46" i="5"/>
  <c r="R45" i="5"/>
  <c r="R44"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127" i="5"/>
  <c r="AB895" i="5"/>
  <c r="S895" i="5"/>
  <c r="AB1863" i="5"/>
  <c r="S1863" i="5"/>
  <c r="R54" i="5"/>
  <c r="R189" i="5"/>
  <c r="AB210" i="5"/>
  <c r="R225" i="5"/>
  <c r="F225" i="5"/>
  <c r="X225" i="5"/>
  <c r="F309" i="5"/>
  <c r="F357" i="5"/>
  <c r="R463" i="5"/>
  <c r="F586" i="5"/>
  <c r="I714" i="5"/>
  <c r="J714" i="5"/>
  <c r="S738" i="5"/>
  <c r="R94" i="5"/>
  <c r="AB170" i="5"/>
  <c r="H452" i="5"/>
  <c r="F452" i="5"/>
  <c r="S1497" i="5"/>
  <c r="H147" i="5"/>
  <c r="I147" i="5"/>
  <c r="F147" i="5"/>
  <c r="R237" i="5"/>
  <c r="F237" i="5"/>
  <c r="J262" i="5"/>
  <c r="AB262" i="5"/>
  <c r="AB298" i="5"/>
  <c r="F451" i="5"/>
  <c r="R453" i="5"/>
  <c r="J453" i="5"/>
  <c r="H453" i="5"/>
  <c r="F453" i="5"/>
  <c r="AB1447" i="5"/>
  <c r="S1447" i="5"/>
  <c r="R90" i="5"/>
  <c r="AB114" i="5"/>
  <c r="H167" i="5"/>
  <c r="R167" i="5"/>
  <c r="H187" i="5"/>
  <c r="R187" i="5"/>
  <c r="I187" i="5"/>
  <c r="I275" i="5"/>
  <c r="F275" i="5"/>
  <c r="I361" i="5"/>
  <c r="J361" i="5"/>
  <c r="H361" i="5"/>
  <c r="F361" i="5"/>
  <c r="I479" i="5"/>
  <c r="H479" i="5"/>
  <c r="F574" i="5"/>
  <c r="S641" i="5"/>
  <c r="R59"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R73" i="5"/>
  <c r="R109" i="5"/>
  <c r="F169" i="5"/>
  <c r="R169" i="5"/>
  <c r="H195" i="5"/>
  <c r="F195" i="5"/>
  <c r="X195" i="5"/>
  <c r="R195" i="5"/>
  <c r="I195" i="5"/>
  <c r="J195" i="5"/>
  <c r="R67" i="5"/>
  <c r="R35" i="5"/>
  <c r="H139" i="5"/>
  <c r="R139" i="5"/>
  <c r="J139" i="5"/>
  <c r="I139" i="5"/>
  <c r="F139" i="5"/>
  <c r="F193" i="5"/>
  <c r="H227" i="5"/>
  <c r="R227" i="5"/>
  <c r="F227" i="5"/>
  <c r="J227" i="5"/>
  <c r="I227" i="5"/>
  <c r="R41" i="5"/>
  <c r="X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R99" i="5"/>
  <c r="H135" i="5"/>
  <c r="F135" i="5"/>
  <c r="R135" i="5"/>
  <c r="J135" i="5"/>
  <c r="I135" i="5"/>
  <c r="H159" i="5"/>
  <c r="R159" i="5"/>
  <c r="J159" i="5"/>
  <c r="I159" i="5"/>
  <c r="F159" i="5"/>
  <c r="I373" i="5"/>
  <c r="R373" i="5"/>
  <c r="J373" i="5"/>
  <c r="H373" i="5"/>
  <c r="F373" i="5"/>
  <c r="R27" i="5"/>
  <c r="R83" i="5"/>
  <c r="R51" i="5"/>
  <c r="R77" i="5"/>
  <c r="R89" i="5"/>
  <c r="H199" i="5"/>
  <c r="R199" i="5"/>
  <c r="J199" i="5"/>
  <c r="I199" i="5"/>
  <c r="F199" i="5"/>
  <c r="R131" i="5"/>
  <c r="R57" i="5"/>
  <c r="R119" i="5"/>
  <c r="R197" i="5"/>
  <c r="F197" i="5"/>
  <c r="H223" i="5"/>
  <c r="R223" i="5"/>
  <c r="J223" i="5"/>
  <c r="F223" i="5"/>
  <c r="I223" i="5"/>
  <c r="R229" i="5"/>
  <c r="F229" i="5"/>
  <c r="R337" i="5"/>
  <c r="J337" i="5"/>
  <c r="H337" i="5"/>
  <c r="F337" i="5"/>
  <c r="R113" i="5"/>
  <c r="H155" i="5"/>
  <c r="R155" i="5"/>
  <c r="J155" i="5"/>
  <c r="I155" i="5"/>
  <c r="F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5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6" i="5"/>
  <c r="AB22" i="5"/>
  <c r="R25" i="5"/>
  <c r="R63" i="5"/>
  <c r="R79"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AB322" i="5"/>
  <c r="AB32" i="5"/>
  <c r="X95"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R114"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AB127"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G68" i="6" s="1"/>
  <c r="H68" i="6" s="1"/>
  <c r="D68" i="6" s="1"/>
  <c r="AB21" i="5"/>
  <c r="AB29" i="5"/>
  <c r="AB35" i="5"/>
  <c r="AB39" i="5"/>
  <c r="AB43" i="5"/>
  <c r="AB47" i="5"/>
  <c r="AB51" i="5"/>
  <c r="AB55" i="5"/>
  <c r="AB59" i="5"/>
  <c r="AB63" i="5"/>
  <c r="AB67" i="5"/>
  <c r="AB71" i="5"/>
  <c r="AB75" i="5"/>
  <c r="AB79" i="5"/>
  <c r="AB83" i="5"/>
  <c r="AB87" i="5"/>
  <c r="AB91" i="5"/>
  <c r="AB95" i="5"/>
  <c r="AB99" i="5"/>
  <c r="R106" i="5"/>
  <c r="AB107" i="5"/>
  <c r="AB116"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AB131"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AB141" i="5"/>
  <c r="H146" i="5"/>
  <c r="F150" i="5"/>
  <c r="R150" i="5"/>
  <c r="J150" i="5"/>
  <c r="AB19" i="5"/>
  <c r="AB27" i="5"/>
  <c r="X24" i="5"/>
  <c r="R28" i="5"/>
  <c r="AB36" i="5"/>
  <c r="AB40" i="5"/>
  <c r="AB44" i="5"/>
  <c r="AB48" i="5"/>
  <c r="AB52" i="5"/>
  <c r="AB56" i="5"/>
  <c r="AB60" i="5"/>
  <c r="AB64" i="5"/>
  <c r="AB68" i="5"/>
  <c r="AB72" i="5"/>
  <c r="AB76" i="5"/>
  <c r="AB80" i="5"/>
  <c r="AB84" i="5"/>
  <c r="AB88" i="5"/>
  <c r="AB92" i="5"/>
  <c r="AB96" i="5"/>
  <c r="AB100" i="5"/>
  <c r="AB101" i="5"/>
  <c r="R110" i="5"/>
  <c r="AB111"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R26" i="5"/>
  <c r="R31" i="5"/>
  <c r="X36" i="5"/>
  <c r="X56" i="5"/>
  <c r="X60" i="5"/>
  <c r="X80" i="5"/>
  <c r="AB103" i="5"/>
  <c r="AB112" i="5"/>
  <c r="AB125"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10"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C19" i="6" s="1"/>
  <c r="J26" i="6"/>
  <c r="I27" i="6"/>
  <c r="C27" i="6" s="1"/>
  <c r="I39" i="6"/>
  <c r="C39" i="6" s="1"/>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7"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520" i="5"/>
  <c r="S598" i="5"/>
  <c r="X165" i="5"/>
  <c r="X121" i="5"/>
  <c r="X310" i="5"/>
  <c r="X530" i="5"/>
  <c r="X559" i="5"/>
  <c r="S532" i="5"/>
  <c r="S356" i="5"/>
  <c r="X234" i="5"/>
  <c r="S343" i="5"/>
  <c r="X325" i="5"/>
  <c r="X315" i="5"/>
  <c r="S315" i="5"/>
  <c r="X311" i="5"/>
  <c r="S357" i="5"/>
  <c r="S383" i="5"/>
  <c r="X250"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c r="B41" i="6"/>
  <c r="G41" i="6"/>
  <c r="B31" i="6"/>
  <c r="G31" i="6"/>
  <c r="J306" i="5"/>
  <c r="J2417" i="5"/>
  <c r="J2160" i="5"/>
  <c r="F1876" i="5"/>
  <c r="R1770" i="5"/>
  <c r="R1700" i="5"/>
  <c r="I1696" i="5"/>
  <c r="I1672" i="5"/>
  <c r="F1126" i="5"/>
  <c r="F875" i="5"/>
  <c r="R888" i="5"/>
  <c r="F783" i="5"/>
  <c r="R757" i="5"/>
  <c r="I588" i="5"/>
  <c r="R431" i="5"/>
  <c r="J435" i="5"/>
  <c r="X2325" i="5"/>
  <c r="H2012" i="5"/>
  <c r="F640" i="5"/>
  <c r="J207" i="5"/>
  <c r="F2197" i="5"/>
  <c r="R2417" i="5"/>
  <c r="H2409" i="5"/>
  <c r="H2011" i="5"/>
  <c r="J1876"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04" i="5"/>
  <c r="B46" i="6"/>
  <c r="G46" i="6"/>
  <c r="B26" i="6"/>
  <c r="G26" i="6"/>
  <c r="G21" i="6"/>
  <c r="H21" i="6"/>
  <c r="B36" i="6"/>
  <c r="G36" i="6"/>
  <c r="G20" i="6"/>
  <c r="H20" i="6"/>
  <c r="B45" i="6"/>
  <c r="G45" i="6"/>
  <c r="H45" i="6" s="1"/>
  <c r="D45" i="6" s="1"/>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J136" i="5"/>
  <c r="H136" i="5"/>
  <c r="F136" i="5"/>
  <c r="R136" i="5"/>
  <c r="I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S597" i="5"/>
  <c r="S599" i="5"/>
  <c r="S611" i="5"/>
  <c r="X220" i="5"/>
  <c r="S601" i="5"/>
  <c r="X410" i="5"/>
  <c r="X176" i="5"/>
  <c r="X244" i="5"/>
  <c r="X600" i="5"/>
  <c r="S600" i="5"/>
  <c r="X446" i="5"/>
  <c r="S382" i="5"/>
  <c r="X475" i="5"/>
  <c r="X469" i="5"/>
  <c r="S533" i="5"/>
  <c r="X485" i="5"/>
  <c r="X561" i="5"/>
  <c r="X575" i="5"/>
  <c r="X534" i="5"/>
  <c r="S355" i="5"/>
  <c r="S602" i="5"/>
  <c r="S603" i="5"/>
  <c r="X104" i="5"/>
  <c r="X374" i="5"/>
  <c r="X605" i="5"/>
  <c r="S605" i="5"/>
  <c r="X279" i="5"/>
  <c r="X581" i="5"/>
  <c r="S607" i="5"/>
  <c r="X215" i="5"/>
  <c r="X580" i="5"/>
  <c r="S314" i="5"/>
  <c r="X414" i="5"/>
  <c r="X120" i="5"/>
  <c r="X419" i="5"/>
  <c r="X415" i="5"/>
  <c r="H39" i="6"/>
  <c r="D39" i="6"/>
  <c r="H26" i="6"/>
  <c r="H24" i="6"/>
  <c r="H35" i="6"/>
  <c r="D35" i="6"/>
  <c r="H40" i="6"/>
  <c r="D40" i="6"/>
  <c r="H46" i="6"/>
  <c r="D46" i="6" s="1"/>
  <c r="H31" i="6"/>
  <c r="D29" i="6"/>
  <c r="H30" i="6"/>
  <c r="AB12" i="5"/>
  <c r="AB9" i="5"/>
  <c r="AB10" i="5"/>
  <c r="AB14" i="5"/>
  <c r="AB17" i="5"/>
  <c r="AB16" i="5"/>
  <c r="AB8" i="5"/>
  <c r="AB13" i="5"/>
  <c r="AB15" i="5"/>
  <c r="AB11" i="5"/>
  <c r="G65" i="6" s="1"/>
  <c r="H65" i="6" s="1"/>
  <c r="D65" i="6" s="1"/>
  <c r="AB7"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D34" i="6"/>
  <c r="D31" i="6"/>
  <c r="D30" i="6"/>
  <c r="D32" i="6"/>
  <c r="R16" i="5"/>
  <c r="R13" i="5"/>
  <c r="R12" i="5"/>
  <c r="R9" i="5"/>
  <c r="R11" i="5"/>
  <c r="R14" i="5"/>
  <c r="D60" i="6"/>
  <c r="D58" i="6"/>
  <c r="D63" i="6"/>
  <c r="D62" i="6"/>
  <c r="D54" i="6"/>
  <c r="D57" i="6"/>
  <c r="F56" i="6"/>
  <c r="H56" i="6"/>
  <c r="H55" i="6"/>
  <c r="D59" i="6"/>
  <c r="X10" i="5"/>
  <c r="X15" i="5"/>
  <c r="D55" i="6"/>
  <c r="D56" i="6"/>
  <c r="S53" i="5"/>
  <c r="G64" i="6" a="1"/>
  <c r="S118" i="5"/>
  <c r="S75" i="5"/>
  <c r="S95" i="5"/>
  <c r="S108" i="5"/>
  <c r="S24" i="5"/>
  <c r="S33" i="5"/>
  <c r="S15" i="5"/>
  <c r="S79" i="5"/>
  <c r="S50" i="5"/>
  <c r="S89" i="5"/>
  <c r="S112" i="5"/>
  <c r="S67" i="5"/>
  <c r="S61" i="5"/>
  <c r="S23" i="5"/>
  <c r="S70" i="5"/>
  <c r="S91" i="5"/>
  <c r="S121" i="5"/>
  <c r="S62" i="5"/>
  <c r="S69" i="5"/>
  <c r="S41" i="5"/>
  <c r="S21" i="5"/>
  <c r="S92" i="5"/>
  <c r="S125" i="5"/>
  <c r="S93" i="5"/>
  <c r="S133" i="5"/>
  <c r="S132" i="5"/>
  <c r="S90" i="5"/>
  <c r="S52" i="5"/>
  <c r="S129" i="5"/>
  <c r="S29" i="5"/>
  <c r="S39" i="5"/>
  <c r="S48" i="5"/>
  <c r="S82" i="5"/>
  <c r="S32" i="5"/>
  <c r="S113" i="5"/>
  <c r="S120" i="5"/>
  <c r="S111" i="5"/>
  <c r="S110" i="5"/>
  <c r="S25" i="5"/>
  <c r="S134" i="5"/>
  <c r="S101" i="5"/>
  <c r="S131" i="5"/>
  <c r="S12" i="5"/>
  <c r="S117" i="5"/>
  <c r="S123" i="5"/>
  <c r="S65" i="5"/>
  <c r="S47" i="5"/>
  <c r="S127" i="5"/>
  <c r="S43" i="5"/>
  <c r="S114" i="5"/>
  <c r="S78" i="5"/>
  <c r="S124" i="5"/>
  <c r="S130" i="5"/>
  <c r="S34" i="5"/>
  <c r="S98" i="5"/>
  <c r="S81" i="5"/>
  <c r="S68" i="5"/>
  <c r="S11" i="5"/>
  <c r="S80" i="5"/>
  <c r="S85" i="5"/>
  <c r="S122" i="5"/>
  <c r="S88" i="5"/>
  <c r="S38" i="5"/>
  <c r="S105" i="5"/>
  <c r="S37" i="5"/>
  <c r="S8" i="5"/>
  <c r="S73" i="5"/>
  <c r="S94" i="5"/>
  <c r="S44" i="5"/>
  <c r="S17" i="5"/>
  <c r="S18" i="5"/>
  <c r="S115" i="5"/>
  <c r="S84" i="5"/>
  <c r="S74" i="5"/>
  <c r="S51" i="5"/>
  <c r="S42" i="5"/>
  <c r="S97" i="5"/>
  <c r="S49" i="5"/>
  <c r="S63" i="5"/>
  <c r="S58" i="5"/>
  <c r="S9" i="5"/>
  <c r="S10" i="5"/>
  <c r="S72" i="5"/>
  <c r="S30" i="5"/>
  <c r="S45" i="5"/>
  <c r="S54" i="5"/>
  <c r="S31" i="5"/>
  <c r="S35" i="5"/>
  <c r="S76" i="5"/>
  <c r="S59" i="5"/>
  <c r="S100" i="5"/>
  <c r="S20" i="5"/>
  <c r="S66" i="5"/>
  <c r="S71" i="5"/>
  <c r="S55" i="5"/>
  <c r="S26" i="5"/>
  <c r="S99" i="5"/>
  <c r="S116" i="5"/>
  <c r="S13" i="5"/>
  <c r="S57" i="5"/>
  <c r="S19" i="5"/>
  <c r="S6" i="5"/>
  <c r="S64" i="5"/>
  <c r="S77" i="5"/>
  <c r="S109" i="5"/>
  <c r="S119" i="5"/>
  <c r="S56" i="5"/>
  <c r="S40" i="5"/>
  <c r="S36" i="5"/>
  <c r="S128" i="5"/>
  <c r="S16" i="5"/>
  <c r="S7" i="5"/>
  <c r="S107" i="5"/>
  <c r="S28" i="5"/>
  <c r="S86" i="5"/>
  <c r="S103" i="5"/>
  <c r="S126" i="5"/>
  <c r="S102" i="5"/>
  <c r="S5" i="5"/>
  <c r="S83" i="5"/>
  <c r="S22" i="5"/>
  <c r="S14" i="5"/>
  <c r="S27" i="5"/>
  <c r="S60" i="5"/>
  <c r="S46" i="5"/>
  <c r="S96" i="5"/>
  <c r="S106" i="5"/>
  <c r="S104" i="5"/>
  <c r="S87" i="5"/>
  <c r="C47" i="6" l="1"/>
  <c r="C46" i="6"/>
  <c r="C45" i="6"/>
  <c r="C68" i="6"/>
  <c r="C66" i="6"/>
  <c r="G67" i="6"/>
  <c r="H67" i="6" s="1"/>
  <c r="D67" i="6" s="1"/>
  <c r="C65" i="6"/>
  <c r="G66" i="6"/>
  <c r="H66" i="6" s="1"/>
  <c r="D66" i="6" s="1"/>
  <c r="C67" i="6"/>
  <c r="A27" i="6"/>
  <c r="A16" i="6"/>
  <c r="B62" i="4"/>
  <c r="A44" i="6" s="1"/>
  <c r="B35" i="4"/>
  <c r="A22" i="6" s="1"/>
  <c r="G49" i="4"/>
  <c r="G61" i="4"/>
  <c r="G43" i="4"/>
  <c r="G37" i="4"/>
  <c r="G74" i="4"/>
  <c r="G55" i="4"/>
  <c r="G31" i="4"/>
  <c r="B32" i="4"/>
  <c r="A19" i="6" s="1"/>
  <c r="A14" i="6"/>
  <c r="B33" i="4"/>
  <c r="A20" i="6" s="1"/>
  <c r="A15" i="6"/>
  <c r="B64" i="4"/>
  <c r="A46" i="6" s="1"/>
  <c r="B58" i="4"/>
  <c r="A41" i="6" s="1"/>
  <c r="B57" i="4"/>
  <c r="A40" i="6" s="1"/>
  <c r="D31" i="4"/>
  <c r="B52" i="4"/>
  <c r="A36" i="6" s="1"/>
  <c r="B70" i="4"/>
  <c r="A51" i="6" s="1"/>
  <c r="A25" i="6"/>
  <c r="D49" i="4"/>
  <c r="D43" i="4"/>
  <c r="B68" i="4"/>
  <c r="A49" i="6" s="1"/>
  <c r="A24" i="6"/>
  <c r="D37" i="4"/>
  <c r="B59" i="4"/>
  <c r="A42" i="6" s="1"/>
  <c r="D74" i="4"/>
  <c r="D61" i="4"/>
  <c r="B71" i="4"/>
  <c r="A52" i="6" s="1"/>
  <c r="B63" i="4"/>
  <c r="A45" i="6" s="1"/>
  <c r="B65" i="4"/>
  <c r="A47" i="6" s="1"/>
  <c r="B56" i="4"/>
  <c r="A39" i="6" s="1"/>
  <c r="B69" i="4"/>
  <c r="A50" i="6" s="1"/>
  <c r="D55" i="4"/>
  <c r="G64" i="6"/>
  <c r="G69" i="6" a="1"/>
  <c r="G69" i="6" s="1"/>
  <c r="F69" i="6"/>
  <c r="T119" i="5"/>
  <c r="T45" i="5"/>
  <c r="T60" i="5"/>
  <c r="T117" i="5"/>
  <c r="T42" i="5"/>
  <c r="T83" i="5"/>
  <c r="T22" i="5"/>
  <c r="T7" i="5"/>
  <c r="T126" i="5"/>
  <c r="T39" i="5"/>
  <c r="T113" i="5"/>
  <c r="T74" i="5"/>
  <c r="T63" i="5"/>
  <c r="T88" i="5"/>
  <c r="T15" i="5"/>
  <c r="T134" i="5"/>
  <c r="T130" i="5"/>
  <c r="T91" i="5"/>
  <c r="T98" i="5"/>
  <c r="T49" i="5"/>
  <c r="T108" i="5"/>
  <c r="T51" i="5"/>
  <c r="T133" i="5"/>
  <c r="T93" i="5"/>
  <c r="T65" i="5"/>
  <c r="T128" i="5"/>
  <c r="T5" i="5"/>
  <c r="T71" i="5"/>
  <c r="T70" i="5"/>
  <c r="T67" i="5"/>
  <c r="T18" i="5"/>
  <c r="T95" i="5"/>
  <c r="T11" i="5"/>
  <c r="T30" i="5"/>
  <c r="T116" i="5"/>
  <c r="T89" i="5"/>
  <c r="T29" i="5"/>
  <c r="T32" i="5"/>
  <c r="T97" i="5"/>
  <c r="T10" i="5"/>
  <c r="T47" i="5"/>
  <c r="T79" i="5"/>
  <c r="T16" i="5"/>
  <c r="T59" i="5"/>
  <c r="T53" i="5"/>
  <c r="T34" i="5"/>
  <c r="T106" i="5"/>
  <c r="T46" i="5"/>
  <c r="T107" i="5"/>
  <c r="T105" i="5"/>
  <c r="T35" i="5"/>
  <c r="T43" i="5"/>
  <c r="T84" i="5"/>
  <c r="T131" i="5"/>
  <c r="T101" i="5"/>
  <c r="T104" i="5"/>
  <c r="T123" i="5"/>
  <c r="T76" i="5"/>
  <c r="T64" i="5"/>
  <c r="T94" i="5"/>
  <c r="T33" i="5"/>
  <c r="T73" i="5"/>
  <c r="T82" i="5"/>
  <c r="T37" i="5"/>
  <c r="T31" i="5"/>
  <c r="T132" i="5"/>
  <c r="T125" i="5"/>
  <c r="T110" i="5"/>
  <c r="T62" i="5"/>
  <c r="T68" i="5"/>
  <c r="T75" i="5"/>
  <c r="T57" i="5"/>
  <c r="T52" i="5"/>
  <c r="T44" i="5"/>
  <c r="T77" i="5"/>
  <c r="T127" i="5"/>
  <c r="T69" i="5"/>
  <c r="T8" i="5"/>
  <c r="T78" i="5"/>
  <c r="T118" i="5"/>
  <c r="T112" i="5"/>
  <c r="T55" i="5"/>
  <c r="T28" i="5"/>
  <c r="T25" i="5"/>
  <c r="T6" i="5"/>
  <c r="T12" i="5"/>
  <c r="T115" i="5"/>
  <c r="T27" i="5"/>
  <c r="T122" i="5"/>
  <c r="T48" i="5"/>
  <c r="T124" i="5"/>
  <c r="T54" i="5"/>
  <c r="T81" i="5"/>
  <c r="T19" i="5"/>
  <c r="T109" i="5"/>
  <c r="T23" i="5"/>
  <c r="T86" i="5"/>
  <c r="T90" i="5"/>
  <c r="T66" i="5"/>
  <c r="T50" i="5"/>
  <c r="T103" i="5"/>
  <c r="T17" i="5"/>
  <c r="T111" i="5"/>
  <c r="T24" i="5"/>
  <c r="T72" i="5"/>
  <c r="T96" i="5"/>
  <c r="T87" i="5"/>
  <c r="T21" i="5"/>
  <c r="T92" i="5"/>
  <c r="T61" i="5"/>
  <c r="T99" i="5"/>
  <c r="T14" i="5"/>
  <c r="T100" i="5"/>
  <c r="T20" i="5"/>
  <c r="T13" i="5"/>
  <c r="T114" i="5"/>
  <c r="T56" i="5"/>
  <c r="T80" i="5"/>
  <c r="T129" i="5"/>
  <c r="T121" i="5"/>
  <c r="T85" i="5"/>
  <c r="T102" i="5"/>
  <c r="T58" i="5"/>
  <c r="T36" i="5"/>
  <c r="T120" i="5"/>
  <c r="T40" i="5"/>
  <c r="T26" i="5"/>
  <c r="T38" i="5"/>
  <c r="H69" i="6" l="1"/>
  <c r="C69" i="6"/>
  <c r="B64" i="6"/>
  <c r="H64" i="6"/>
  <c r="D64" i="6" l="1"/>
  <c r="C64"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<sst xmlns="http://schemas.openxmlformats.org/spreadsheetml/2006/main" count="23421" uniqueCount="15884">
  <si>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</si>
  <si>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</si>
  <si>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</si>
  <si>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</si>
  <si>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</si>
  <si>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</si>
  <si>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</si>
  <si>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</si>
  <si>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</si>
  <si>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</si>
  <si>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</si>
  <si>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</si>
  <si>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</si>
  <si>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</si>
  <si>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</si>
  <si>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</si>
  <si>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</si>
  <si>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</si>
  <si>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</si>
  <si>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</si>
  <si>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</si>
  <si>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</si>
  <si>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</si>
  <si>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</si>
  <si>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</si>
  <si>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</si>
  <si>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</si>
  <si>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</si>
  <si>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</si>
  <si>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</si>
  <si>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</si>
  <si>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</si>
  <si>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</si>
  <si>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</si>
  <si>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</si>
  <si>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</si>
  <si>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</si>
  <si>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</si>
  <si>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</si>
  <si>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</si>
  <si>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</si>
  <si>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</si>
  <si>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</si>
  <si>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</si>
  <si>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</si>
  <si>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</si>
  <si>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</si>
  <si>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</si>
  <si>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</si>
  <si>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</si>
  <si>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</si>
  <si>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</si>
  <si>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</si>
  <si>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</si>
  <si>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</si>
  <si>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</si>
  <si>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</si>
  <si>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</si>
  <si>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</si>
  <si>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</si>
  <si>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</si>
  <si>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</si>
  <si>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</si>
  <si>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</si>
  <si>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</si>
  <si>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</si>
  <si>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</si>
  <si>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</si>
  <si>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</si>
  <si>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</si>
  <si>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</si>
  <si>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</si>
  <si>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</si>
  <si>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</si>
  <si>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</si>
  <si>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</si>
  <si>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</si>
  <si>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</si>
  <si>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</si>
  <si>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</si>
  <si>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</si>
  <si>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</si>
  <si>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</si>
  <si>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</si>
  <si>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</si>
  <si>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</si>
  <si>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</si>
  <si>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</si>
  <si>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</si>
  <si>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</si>
  <si>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</si>
  <si>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</si>
  <si>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</si>
  <si>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</si>
  <si>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</si>
  <si>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</si>
  <si>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</si>
  <si>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</si>
  <si>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</si>
  <si>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</si>
  <si>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</si>
  <si>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</si>
  <si>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</si>
  <si>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</si>
  <si>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</si>
  <si>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</si>
  <si>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</si>
  <si>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</si>
  <si>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</si>
  <si>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</si>
  <si>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</si>
  <si>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</si>
  <si>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</si>
  <si>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</si>
  <si>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</si>
  <si>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</si>
  <si>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</si>
  <si>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</si>
  <si>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</si>
  <si>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</si>
  <si>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</si>
  <si>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</si>
  <si>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</si>
  <si>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</si>
  <si>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</si>
  <si>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</si>
  <si>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</si>
  <si>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</si>
  <si>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</si>
  <si>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</si>
  <si>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</si>
  <si>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</si>
  <si>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</si>
  <si>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</si>
  <si>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</si>
  <si>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</si>
  <si>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</si>
  <si>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</si>
  <si>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</si>
  <si>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</si>
  <si>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</si>
  <si>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</si>
  <si>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</si>
  <si>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</si>
  <si>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</si>
  <si>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</si>
  <si>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</si>
  <si>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</si>
  <si>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</si>
  <si>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</si>
  <si>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</si>
  <si>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</si>
  <si>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</si>
  <si>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</si>
  <si>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</si>
  <si>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</si>
  <si>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</si>
  <si>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</si>
  <si>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</si>
  <si>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</si>
  <si>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</si>
  <si>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</si>
  <si>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</si>
  <si>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</si>
  <si>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</si>
  <si>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</si>
  <si>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</si>
  <si>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</si>
  <si>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</si>
  <si>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</si>
  <si>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</si>
  <si>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</si>
  <si>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</si>
  <si>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</si>
  <si>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</si>
  <si>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</si>
  <si>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</si>
  <si>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</si>
  <si>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</si>
  <si>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</si>
  <si>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</si>
  <si>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</si>
  <si>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</si>
  <si>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</si>
  <si>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</si>
  <si>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</si>
  <si>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</si>
  <si>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</si>
  <si>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</si>
  <si>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</si>
  <si>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</si>
  <si>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</si>
  <si>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</si>
  <si>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</si>
  <si>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</si>
  <si>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</si>
  <si>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</si>
  <si>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</si>
  <si>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</si>
  <si>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</si>
  <si>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</si>
  <si>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</si>
  <si>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</si>
  <si>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</si>
  <si>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</si>
  <si>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</si>
  <si>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</si>
  <si>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</si>
  <si>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</si>
  <si>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</si>
  <si>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</si>
  <si>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</si>
  <si>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</si>
  <si>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</si>
  <si>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</si>
  <si>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</si>
  <si>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</si>
  <si>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</si>
  <si>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</si>
  <si>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</si>
  <si>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</si>
  <si>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</si>
  <si>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</si>
  <si>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</si>
  <si>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</si>
  <si>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</si>
  <si>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</si>
  <si>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</si>
  <si>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</si>
  <si>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</si>
  <si>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</si>
  <si>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</si>
  <si>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</si>
  <si>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</si>
  <si>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</si>
  <si>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</si>
  <si>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</si>
  <si>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</si>
  <si>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</si>
  <si>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</si>
  <si>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</si>
  <si>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</si>
  <si>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</si>
  <si>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</si>
  <si>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</si>
  <si>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</si>
  <si>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</si>
  <si>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</si>
  <si>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</si>
  <si>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</si>
  <si>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</si>
  <si>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</si>
  <si>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</si>
  <si>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</si>
  <si>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</si>
  <si>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</si>
  <si>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</si>
  <si>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</si>
  <si>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</si>
  <si>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</si>
  <si>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</si>
  <si>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</si>
  <si>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</si>
  <si>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</si>
  <si>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</si>
  <si>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</si>
  <si>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</si>
  <si>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</si>
  <si>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</si>
  <si>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</si>
  <si>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</si>
  <si>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</si>
  <si>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</si>
  <si>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</si>
  <si>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</si>
  <si>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</si>
  <si>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</si>
  <si>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</si>
  <si>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</si>
  <si>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</si>
  <si>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</si>
  <si>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</si>
  <si>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</si>
  <si>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</si>
  <si>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</si>
  <si>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</si>
  <si>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</si>
  <si>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</si>
  <si>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</si>
  <si>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</si>
  <si>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</si>
  <si>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</si>
  <si>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</si>
  <si>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</si>
  <si>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</si>
  <si>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</si>
  <si>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</si>
  <si>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</si>
  <si>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</si>
  <si>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</si>
  <si>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</si>
  <si>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</si>
  <si>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</si>
  <si>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</si>
  <si>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</si>
  <si>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</si>
  <si>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</si>
  <si>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</si>
  <si>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</si>
  <si>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</si>
  <si>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</si>
  <si>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</si>
  <si>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</si>
  <si>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</si>
  <si>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</si>
  <si>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</si>
  <si>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</si>
  <si>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</si>
  <si>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</si>
  <si>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</si>
  <si>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</si>
  <si>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</si>
  <si>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</si>
  <si>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</si>
  <si>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</si>
  <si>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</si>
  <si>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</si>
  <si>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</si>
  <si>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</si>
  <si>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</si>
  <si>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</si>
  <si>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</si>
  <si>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</si>
  <si>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</si>
  <si>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</si>
  <si>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</si>
  <si>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</si>
  <si>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</si>
  <si>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</si>
  <si>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</si>
  <si>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</si>
  <si>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</si>
  <si>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</si>
  <si>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</si>
  <si>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</si>
  <si>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</si>
  <si>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</si>
  <si>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</si>
  <si>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</si>
  <si>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</si>
  <si>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</si>
  <si>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</si>
  <si>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</si>
  <si>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</si>
  <si>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</si>
  <si>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</si>
  <si>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</si>
  <si>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</si>
  <si>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</si>
  <si>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</si>
  <si>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</si>
  <si>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</si>
  <si>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</si>
  <si>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</si>
  <si>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</si>
  <si>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</si>
  <si>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</si>
  <si>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</si>
  <si>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</si>
  <si>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</si>
  <si>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</si>
  <si>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</si>
  <si>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</si>
  <si>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</si>
  <si>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</si>
  <si>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</si>
  <si>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</si>
  <si>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</si>
  <si>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</si>
  <si>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</si>
  <si>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</si>
  <si>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</si>
  <si>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</si>
  <si>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</si>
  <si>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</si>
  <si>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</si>
  <si>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</si>
  <si>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</si>
  <si>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</si>
  <si>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</si>
  <si>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</si>
  <si>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</si>
  <si>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</si>
  <si>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</si>
  <si>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</si>
  <si>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</si>
  <si>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</si>
  <si>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</si>
  <si>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</si>
  <si>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</si>
  <si>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</si>
  <si>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</si>
  <si>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</si>
  <si>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</si>
  <si>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</si>
  <si>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</si>
  <si>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</si>
  <si>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</si>
  <si>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</si>
  <si>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</si>
  <si>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</si>
  <si>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</si>
  <si>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</si>
  <si>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</si>
  <si>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</si>
  <si>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</si>
  <si>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</si>
  <si>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</si>
  <si>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</si>
  <si>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</si>
  <si>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</si>
  <si>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</si>
  <si>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</si>
  <si>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</si>
  <si>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</si>
  <si>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</si>
  <si>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</si>
  <si>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</si>
  <si>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</si>
  <si>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</si>
  <si>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</si>
  <si>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</si>
  <si>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</si>
  <si>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</si>
  <si>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</si>
  <si>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</si>
  <si>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</si>
  <si>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</si>
  <si>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</si>
  <si>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</si>
  <si>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</si>
  <si>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</si>
  <si>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</si>
  <si>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</si>
  <si>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</si>
  <si>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</si>
  <si>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</si>
  <si>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</si>
  <si>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</si>
  <si>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</si>
  <si>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</si>
  <si>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</si>
  <si>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</si>
  <si>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</si>
  <si>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</si>
  <si>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</si>
  <si>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</si>
  <si>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</si>
  <si>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</si>
  <si>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</si>
  <si>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</si>
  <si>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</si>
  <si>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</si>
  <si>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</si>
  <si>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</si>
  <si>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</si>
  <si>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</si>
  <si>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</si>
  <si>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</si>
  <si>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</si>
  <si>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</si>
  <si>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</si>
  <si>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</si>
  <si>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</si>
  <si>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</si>
  <si>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</si>
  <si>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</si>
  <si>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</si>
  <si>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</si>
  <si>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</si>
  <si>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</si>
  <si>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</si>
  <si>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</si>
  <si>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</si>
  <si>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</si>
  <si>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</si>
  <si>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</si>
  <si>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</si>
  <si>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</si>
  <si>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</si>
  <si>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</si>
  <si>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</si>
  <si>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</si>
  <si>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</si>
  <si>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</si>
  <si>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</si>
  <si>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</si>
  <si>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</si>
  <si>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</si>
  <si>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</si>
  <si>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</si>
  <si>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</si>
  <si>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</si>
  <si>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</si>
  <si>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</si>
  <si>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</si>
  <si>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</si>
  <si>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</si>
  <si>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</si>
  <si>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</si>
  <si>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</si>
  <si>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</si>
  <si>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</si>
  <si>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</si>
  <si>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</si>
  <si>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</si>
  <si>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</si>
  <si>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</si>
  <si>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</si>
  <si>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</si>
  <si>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</si>
  <si>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</si>
  <si>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</si>
  <si>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</si>
  <si>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</si>
  <si>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</si>
  <si>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</si>
  <si>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</si>
  <si>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</si>
  <si>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</si>
  <si>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</si>
  <si>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</si>
  <si>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</si>
  <si>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</si>
  <si>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</si>
  <si>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</si>
  <si>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</si>
  <si>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</si>
  <si>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</si>
  <si>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</si>
  <si>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</si>
  <si>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</si>
  <si>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</si>
  <si>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</si>
  <si>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</si>
  <si>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</si>
  <si>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</si>
  <si>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</si>
  <si>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</si>
  <si>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</si>
  <si>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</si>
  <si>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</si>
  <si>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</si>
  <si>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</si>
  <si>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</si>
  <si>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</si>
  <si>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</si>
  <si>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</si>
  <si>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</si>
  <si>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</si>
  <si>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</si>
  <si>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</si>
  <si>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</si>
  <si>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</si>
  <si>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</si>
  <si>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</si>
  <si>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</si>
  <si>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</si>
  <si>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</si>
  <si>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</si>
  <si>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</si>
  <si>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</si>
  <si>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</si>
  <si>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</si>
  <si>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</si>
  <si>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</si>
  <si>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</si>
  <si>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</si>
  <si>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</si>
  <si>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</si>
  <si>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</si>
  <si>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</si>
  <si>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</si>
  <si>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</si>
  <si>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</si>
  <si>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</si>
  <si>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</si>
  <si>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</si>
  <si>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</si>
  <si>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</si>
  <si>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</si>
  <si>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</si>
  <si>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</si>
  <si>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</si>
  <si>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</si>
  <si>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</si>
  <si>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</si>
  <si>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</si>
  <si>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</si>
  <si>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</si>
  <si>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</si>
  <si>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</si>
  <si>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</si>
  <si>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</si>
  <si>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</si>
  <si>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</si>
  <si>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</si>
  <si>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</si>
  <si>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</si>
  <si>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</si>
  <si>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</si>
  <si>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</si>
  <si>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</si>
  <si>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</si>
  <si>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</si>
  <si>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</si>
  <si>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</si>
  <si>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</si>
  <si>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</si>
  <si>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</si>
  <si>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</si>
  <si>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</si>
  <si>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</si>
  <si>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</si>
  <si>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</si>
  <si>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</si>
  <si>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</si>
  <si>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</si>
  <si>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</si>
  <si>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</si>
  <si>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</si>
  <si>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</si>
  <si>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</si>
  <si>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</si>
  <si>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</si>
  <si>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</si>
  <si>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</si>
  <si>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</si>
  <si>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</si>
  <si>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</si>
  <si>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</si>
  <si>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</si>
  <si>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</si>
  <si>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</si>
  <si>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</si>
  <si>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</si>
  <si>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</si>
  <si>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</si>
  <si>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</si>
  <si>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</si>
  <si>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</si>
  <si>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</si>
  <si>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</si>
  <si>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</si>
  <si>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</si>
  <si>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</si>
  <si>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</si>
  <si>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</si>
  <si>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</si>
  <si>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</si>
  <si>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</si>
  <si>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</si>
  <si>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</si>
  <si>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</si>
  <si>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</si>
  <si>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</si>
  <si>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</si>
  <si>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</si>
  <si>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</si>
  <si>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</si>
  <si>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</si>
  <si>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</si>
  <si>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</si>
  <si>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</si>
  <si>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</si>
  <si>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</si>
  <si>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</si>
  <si>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</si>
  <si>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</si>
  <si>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</si>
  <si>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</si>
  <si>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</si>
  <si>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</si>
  <si>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</si>
  <si>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</si>
  <si>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</si>
  <si>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</si>
  <si>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</si>
  <si>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</si>
  <si>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</si>
  <si>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</si>
  <si>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</si>
  <si>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</si>
  <si>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</si>
  <si>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</si>
  <si>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</si>
  <si>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</si>
  <si>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</si>
  <si>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</si>
  <si>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</si>
  <si>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</si>
  <si>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</si>
  <si>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</si>
  <si>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</si>
  <si>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</si>
  <si>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</si>
  <si>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</si>
  <si>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</si>
  <si>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</si>
  <si>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</si>
  <si>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</si>
  <si>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</si>
  <si>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</si>
  <si>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</si>
  <si>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</si>
  <si>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</si>
  <si>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</si>
  <si>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</si>
  <si>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</si>
  <si>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</si>
  <si>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</si>
  <si>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</si>
  <si>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</si>
  <si>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</si>
  <si>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</si>
  <si>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</si>
  <si>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</si>
  <si>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</si>
  <si>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</si>
  <si>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</si>
  <si>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</si>
  <si>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</si>
  <si>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</si>
  <si>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</si>
  <si>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</si>
  <si>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</si>
  <si>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</si>
  <si>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</si>
  <si>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</si>
  <si>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</si>
  <si>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</si>
  <si>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</si>
  <si>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</si>
  <si>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</si>
  <si>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</si>
  <si>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</si>
  <si>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</si>
  <si>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</si>
  <si>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</si>
  <si>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</si>
  <si>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</si>
  <si>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</si>
  <si>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</si>
  <si>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</si>
  <si>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</si>
  <si>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</si>
  <si>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</si>
  <si>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</si>
  <si>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</si>
  <si>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</si>
  <si>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</si>
  <si>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</si>
  <si>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</si>
  <si>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</si>
  <si>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</si>
  <si>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</si>
  <si>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</si>
  <si>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</si>
  <si>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</si>
  <si>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</si>
  <si>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</si>
  <si>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</si>
  <si>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</si>
  <si>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</si>
  <si>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</si>
  <si>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</si>
  <si>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</si>
  <si>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</si>
  <si>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</si>
  <si>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</si>
  <si>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</si>
  <si>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</si>
  <si>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</si>
  <si>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</si>
  <si>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</si>
  <si>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</si>
  <si>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</si>
  <si>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</si>
  <si>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</si>
  <si>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</si>
  <si>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</si>
  <si>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</si>
  <si>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</si>
  <si>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</si>
  <si>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</si>
  <si>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</si>
  <si>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</si>
  <si>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</si>
  <si>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</si>
  <si>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</si>
  <si>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</si>
  <si>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</si>
  <si>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</si>
  <si>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</si>
  <si>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</si>
  <si>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</si>
  <si>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</si>
  <si>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</si>
  <si>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</si>
  <si>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</si>
  <si>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</si>
  <si>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</si>
  <si>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</si>
  <si>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</si>
  <si>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</si>
  <si>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</si>
  <si>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</si>
  <si>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</si>
  <si>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</si>
  <si>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</si>
  <si>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</si>
  <si>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</si>
  <si>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</si>
  <si>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</si>
  <si>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</si>
  <si>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</si>
  <si>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</si>
  <si>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</si>
  <si>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</si>
  <si>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</si>
  <si>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</si>
  <si>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</si>
  <si>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</si>
  <si>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</si>
  <si>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</si>
  <si>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</si>
  <si>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</si>
  <si>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</si>
  <si>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</si>
  <si>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</si>
  <si>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</si>
  <si>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</si>
  <si>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</si>
  <si>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</si>
  <si>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</si>
  <si>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</si>
  <si>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</si>
  <si>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</si>
  <si>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</si>
  <si>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</si>
  <si>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</si>
  <si>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</si>
  <si>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</si>
  <si>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</si>
  <si>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</si>
  <si>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</si>
  <si>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</si>
  <si>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</si>
  <si>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</si>
  <si>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</si>
  <si>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</si>
  <si>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</si>
  <si>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</si>
  <si>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</si>
  <si>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</si>
  <si>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</si>
  <si>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</si>
  <si>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</si>
  <si>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</si>
  <si>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</si>
  <si>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</si>
  <si>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</si>
  <si>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</si>
  <si>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</si>
  <si>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</si>
  <si>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</si>
  <si>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</si>
  <si>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</si>
  <si>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</si>
  <si>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</si>
  <si>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</si>
  <si>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</si>
  <si>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</si>
  <si>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</si>
  <si>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</si>
  <si>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</si>
  <si>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</si>
  <si>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</si>
  <si>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</si>
  <si>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</si>
  <si>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</si>
  <si>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</si>
  <si>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</si>
  <si>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</si>
  <si>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</si>
  <si>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</si>
  <si>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</si>
  <si>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</si>
  <si>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</si>
  <si>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</si>
  <si>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</si>
  <si>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</si>
  <si>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</si>
  <si>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</si>
  <si>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</si>
  <si>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</si>
  <si>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</si>
  <si>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</si>
  <si>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</si>
  <si>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</si>
  <si>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</si>
  <si>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</si>
  <si>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</si>
  <si>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</si>
  <si>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</si>
  <si>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</si>
  <si>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</si>
  <si>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</si>
  <si>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</si>
  <si>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</si>
  <si>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</si>
  <si>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</si>
  <si>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</si>
  <si>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</si>
  <si>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</si>
  <si>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</si>
  <si>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</si>
  <si>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</si>
  <si>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</si>
  <si>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</si>
  <si>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</si>
  <si>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</si>
  <si>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</si>
  <si>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</si>
  <si>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</si>
  <si>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</si>
  <si>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</si>
  <si>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</si>
  <si>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</si>
  <si>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</si>
  <si>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</si>
  <si>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</si>
  <si>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</si>
  <si>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</si>
  <si>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</si>
  <si>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</si>
  <si>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</si>
  <si>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</si>
  <si>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</si>
  <si>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</si>
  <si>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</si>
  <si>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</si>
  <si>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</si>
  <si>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</si>
  <si>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</si>
  <si>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</si>
  <si>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</si>
  <si>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</si>
  <si>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</si>
  <si>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</si>
  <si>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</si>
  <si>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</si>
  <si>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</si>
  <si>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</si>
  <si>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</si>
  <si>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</si>
  <si>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</si>
  <si>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</si>
  <si>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</si>
  <si>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</si>
  <si>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</si>
  <si>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</si>
  <si>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</si>
  <si>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</si>
  <si>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</si>
  <si>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</si>
  <si>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</si>
  <si>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</si>
  <si>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</si>
  <si>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</si>
  <si>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</si>
  <si>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</si>
  <si>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</si>
  <si>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</si>
  <si>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</si>
  <si>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</si>
  <si>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</si>
  <si>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</si>
  <si>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</si>
  <si>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</si>
  <si>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</si>
  <si>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</si>
  <si>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</si>
  <si>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</si>
  <si>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</si>
  <si>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</si>
  <si>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</si>
  <si>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</si>
  <si>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</si>
  <si>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</si>
  <si>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</si>
  <si>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</si>
  <si>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</si>
  <si>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</si>
  <si>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</si>
  <si>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</si>
  <si>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</si>
  <si>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</si>
  <si>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</si>
  <si>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</si>
  <si>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</si>
  <si>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</si>
  <si>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</si>
  <si>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</si>
  <si>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</si>
  <si>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</si>
  <si>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</si>
  <si>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</si>
  <si>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</si>
  <si>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</si>
  <si>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</si>
  <si>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</si>
  <si>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</si>
  <si>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</si>
  <si>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</si>
  <si>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</si>
  <si>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</si>
  <si>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</si>
  <si>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</si>
  <si>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</si>
  <si>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</si>
  <si>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</si>
  <si>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</si>
  <si>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</si>
  <si>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</si>
  <si>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</si>
  <si>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</si>
  <si>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</si>
  <si>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</si>
  <si>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</si>
  <si>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</si>
  <si>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</si>
  <si>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</si>
  <si>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</si>
  <si>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</si>
  <si>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</si>
  <si>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</si>
  <si>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</si>
  <si>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</si>
  <si>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</si>
  <si>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</si>
  <si>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</si>
  <si>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</si>
  <si>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</si>
  <si>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</si>
  <si>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</si>
  <si>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</si>
  <si>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</si>
  <si>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</si>
  <si>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</si>
  <si>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</si>
  <si>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</si>
  <si>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</si>
  <si>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</si>
  <si>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</si>
  <si>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</si>
  <si>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</si>
  <si>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</si>
  <si>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</si>
  <si>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</si>
  <si>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</si>
  <si>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</si>
  <si>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</si>
  <si>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</si>
  <si>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</si>
  <si>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</si>
  <si>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</si>
  <si>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</si>
  <si>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</si>
  <si>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</si>
  <si>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</si>
  <si>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</si>
  <si>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</si>
  <si>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</si>
  <si>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</si>
  <si>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</si>
  <si>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</si>
  <si>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</si>
  <si>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</si>
  <si>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</si>
  <si>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</si>
  <si>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</si>
  <si>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</si>
  <si>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</si>
  <si>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</si>
  <si>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</si>
  <si>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</si>
  <si>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</si>
  <si>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</si>
  <si>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</si>
  <si>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</si>
  <si>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</si>
  <si>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</si>
  <si>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</si>
  <si>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</si>
  <si>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</si>
  <si>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</si>
  <si>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</si>
  <si>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</si>
  <si>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</si>
  <si>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</si>
  <si>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</si>
  <si>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</si>
  <si>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</si>
  <si>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</si>
  <si>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</si>
  <si>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</si>
  <si>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</si>
  <si>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</si>
  <si>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</si>
  <si>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</si>
  <si>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</si>
  <si>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</si>
  <si>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</si>
  <si>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</si>
  <si>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</si>
  <si>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</si>
  <si>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</si>
  <si>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</si>
  <si>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</si>
  <si>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</si>
  <si>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</si>
  <si>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</si>
  <si>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</si>
  <si>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</si>
  <si>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</si>
  <si>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</si>
  <si>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</si>
  <si>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</si>
  <si>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</si>
  <si>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</si>
  <si>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</si>
  <si>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</si>
  <si>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</si>
  <si>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</si>
  <si>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</si>
  <si>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</si>
  <si>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</si>
  <si>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</si>
  <si>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</si>
  <si>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</si>
  <si>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</si>
  <si>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</si>
  <si>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</si>
  <si>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</si>
  <si>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</si>
  <si>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</si>
  <si>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</si>
  <si>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</si>
  <si>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</si>
  <si>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</si>
  <si>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</si>
  <si>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</si>
  <si>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</si>
  <si>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</si>
  <si>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</si>
  <si>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</si>
  <si>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</si>
  <si>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</si>
  <si>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</si>
  <si>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</si>
  <si>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</si>
  <si>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</si>
  <si>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</si>
  <si>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</si>
  <si>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</si>
  <si>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</si>
  <si>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</si>
  <si>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</si>
  <si>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</si>
  <si>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</si>
  <si>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</si>
  <si>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</si>
  <si>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</si>
  <si>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</si>
  <si>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</si>
  <si>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</si>
  <si>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</si>
  <si>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</si>
  <si>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</si>
  <si>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</si>
  <si>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</si>
  <si>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</si>
  <si>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</si>
  <si>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</si>
  <si>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</si>
  <si>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</si>
  <si>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</si>
  <si>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</si>
  <si>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</si>
  <si>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</si>
  <si>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</si>
  <si>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</si>
  <si>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</si>
  <si>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</si>
  <si>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</si>
  <si>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</si>
  <si>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</si>
  <si>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</si>
  <si>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</si>
  <si>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</si>
  <si>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</si>
  <si>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</si>
  <si>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</si>
  <si>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</si>
  <si>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</si>
  <si>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</si>
  <si>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</si>
  <si>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</si>
  <si>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</si>
  <si>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</si>
  <si>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</si>
  <si>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</si>
  <si>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</si>
  <si>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</si>
  <si>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</si>
  <si>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</si>
  <si>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</si>
  <si>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</si>
  <si>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</si>
  <si>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</si>
  <si>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</si>
  <si>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</si>
  <si>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</si>
  <si>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</si>
  <si>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</si>
  <si>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</si>
  <si>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</si>
  <si>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</si>
  <si>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</si>
  <si>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</si>
  <si>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</si>
  <si>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</si>
  <si>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</si>
  <si>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</si>
  <si>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</si>
  <si>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</si>
  <si>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</si>
  <si>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</si>
  <si>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</si>
  <si>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</si>
  <si>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</si>
  <si>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</si>
  <si>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</si>
  <si>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</si>
  <si>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</si>
  <si>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</si>
  <si>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</si>
  <si>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</si>
  <si>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</si>
  <si>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</si>
  <si>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</si>
  <si>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</si>
  <si>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</si>
  <si>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</si>
  <si>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</si>
  <si>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</si>
  <si>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</si>
  <si>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</si>
  <si>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</si>
  <si>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</si>
  <si>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</si>
  <si>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</si>
  <si>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</si>
  <si>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</si>
  <si>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</si>
  <si>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</si>
  <si>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</si>
  <si>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</si>
  <si>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</si>
  <si>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</si>
  <si>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</si>
  <si>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</si>
  <si>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</si>
  <si>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</si>
  <si>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</si>
  <si>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</si>
  <si>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</si>
  <si>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</si>
  <si>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</si>
  <si>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</si>
  <si>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</si>
  <si>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</si>
  <si>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</si>
  <si>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</si>
  <si>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</si>
  <si>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</si>
  <si>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</si>
  <si>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</si>
  <si>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</si>
  <si>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</si>
  <si>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</si>
  <si>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</si>
  <si>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</si>
  <si>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</si>
  <si>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</si>
  <si>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</si>
  <si>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</si>
  <si>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</si>
  <si>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</si>
  <si>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</si>
  <si>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</si>
  <si>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</si>
  <si>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</si>
  <si>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</si>
  <si>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</si>
  <si>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</si>
  <si>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</si>
  <si>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</si>
  <si>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</si>
  <si>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</si>
  <si>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</si>
  <si>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</si>
  <si>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</si>
  <si>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</si>
  <si>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</si>
  <si>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</si>
  <si>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</si>
  <si>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</si>
  <si>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</si>
  <si>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</si>
  <si>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</si>
  <si>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</si>
  <si>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</si>
  <si>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</si>
  <si>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</si>
  <si>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</si>
  <si>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</si>
  <si>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</si>
  <si>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</si>
  <si>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</si>
  <si>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</si>
  <si>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</si>
  <si>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</si>
  <si>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</si>
  <si>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</si>
  <si>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</si>
  <si>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</si>
  <si>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</si>
  <si>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</si>
  <si>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</si>
  <si>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</si>
  <si>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</si>
  <si>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</si>
  <si>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</si>
  <si>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</si>
  <si>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</si>
  <si>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</si>
  <si>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</si>
  <si>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</si>
  <si>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</si>
  <si>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</si>
  <si>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</si>
  <si>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</si>
  <si>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</si>
  <si>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</si>
  <si>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</si>
  <si>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</si>
  <si>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</si>
  <si>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</si>
  <si>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</si>
  <si>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</si>
  <si>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</si>
  <si>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</si>
  <si>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</si>
  <si>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</si>
  <si>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</si>
  <si>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</si>
  <si>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</si>
  <si>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</si>
  <si>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</si>
  <si>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</si>
  <si>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</si>
  <si>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</si>
  <si>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</si>
  <si>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</si>
  <si>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</si>
  <si>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</si>
  <si>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</si>
  <si>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</si>
  <si>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</si>
  <si>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</si>
  <si>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</si>
  <si>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</si>
  <si>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</si>
  <si>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</si>
  <si>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</si>
  <si>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</si>
  <si>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</si>
  <si>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</si>
  <si>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</si>
  <si>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</si>
  <si>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</si>
  <si>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</si>
  <si>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</si>
  <si>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</si>
  <si>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</si>
  <si>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</si>
  <si>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</si>
  <si>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</si>
  <si>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</si>
  <si>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</si>
  <si>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</si>
  <si>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</si>
  <si>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</si>
  <si>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</si>
  <si>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</si>
  <si>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</si>
  <si>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</si>
  <si>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</si>
  <si>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</si>
  <si>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</si>
  <si>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</si>
  <si>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</si>
  <si>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</si>
  <si>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</si>
  <si>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</si>
  <si>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</si>
  <si>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</si>
  <si>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</si>
  <si>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</si>
  <si>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</si>
  <si>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</si>
  <si>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</si>
  <si>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</si>
  <si>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</si>
  <si>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</si>
  <si>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</si>
  <si>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</si>
  <si>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</si>
  <si>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</si>
  <si>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</si>
  <si>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</si>
  <si>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</si>
  <si>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</si>
  <si>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</si>
  <si>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</si>
  <si>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</si>
  <si>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</si>
  <si>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</si>
  <si>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</si>
  <si>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</si>
  <si>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</si>
  <si>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</si>
  <si>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</si>
  <si>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</si>
  <si>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</si>
  <si>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</si>
  <si>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</si>
  <si>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</si>
  <si>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</si>
  <si>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</si>
  <si>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</si>
  <si>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</si>
  <si>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</si>
  <si>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</si>
  <si>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</si>
  <si>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</si>
  <si>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</si>
  <si>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</si>
  <si>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</si>
  <si>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</si>
  <si>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</si>
  <si>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</si>
  <si>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</si>
  <si>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</si>
  <si>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</si>
  <si>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</si>
  <si>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</si>
  <si>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</si>
  <si>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</si>
  <si>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</si>
  <si>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</si>
  <si>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</si>
  <si>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</si>
  <si>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</si>
  <si>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</si>
  <si>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</si>
  <si>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</si>
  <si>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</si>
  <si>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</si>
  <si>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</si>
  <si>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</si>
  <si>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</si>
  <si>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</si>
  <si>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</si>
  <si>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</si>
  <si>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</si>
  <si>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</si>
  <si>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</si>
  <si>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</si>
  <si>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</si>
  <si>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</si>
  <si>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</si>
  <si>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</si>
  <si>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</si>
  <si>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</si>
  <si>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</si>
  <si>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</si>
  <si>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</si>
  <si>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</si>
  <si>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</si>
  <si>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</si>
  <si>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</si>
  <si>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</si>
  <si>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</si>
  <si>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</si>
  <si>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</si>
  <si>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</si>
  <si>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</si>
  <si>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</si>
  <si>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</si>
  <si>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</si>
  <si>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</si>
  <si>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</si>
  <si>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</si>
  <si>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</si>
  <si>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</si>
  <si>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</si>
  <si>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</si>
  <si>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</si>
  <si>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</si>
  <si>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</si>
  <si>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</si>
  <si>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</si>
  <si>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</si>
  <si>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</si>
  <si>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</si>
  <si>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</si>
  <si>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</si>
  <si>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</si>
  <si>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</si>
  <si>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</si>
  <si>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</si>
  <si>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</si>
  <si>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</si>
  <si>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</si>
  <si>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</si>
  <si>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</si>
  <si>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</si>
  <si>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</si>
  <si>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</si>
  <si>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</si>
  <si>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</si>
  <si>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</si>
  <si>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</si>
  <si>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</si>
  <si>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</si>
  <si>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</si>
  <si>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</si>
  <si>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</si>
  <si>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</si>
  <si>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</si>
  <si>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</si>
  <si>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</si>
  <si>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</si>
  <si>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</si>
  <si>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</si>
  <si>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</si>
  <si>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</si>
  <si>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</si>
  <si>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</si>
  <si>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</si>
  <si>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</si>
  <si>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</si>
  <si>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</si>
  <si>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</si>
  <si>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</si>
  <si>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</si>
  <si>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</si>
  <si>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</si>
  <si>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</si>
  <si>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</si>
  <si>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</si>
  <si>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</si>
  <si>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</si>
  <si>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</si>
  <si>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</si>
  <si>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</si>
  <si>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</si>
  <si>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</si>
  <si>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</si>
  <si>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</si>
  <si>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</si>
  <si>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</si>
  <si>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</si>
  <si>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</si>
  <si>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</si>
  <si>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</si>
  <si>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</si>
  <si>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</si>
  <si>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</si>
  <si>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</si>
  <si>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</si>
  <si>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</si>
  <si>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</si>
  <si>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</si>
  <si>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</si>
  <si>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</si>
  <si>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</si>
  <si>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</si>
  <si>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</si>
  <si>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</si>
  <si>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</si>
  <si>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</si>
  <si>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</si>
  <si>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</si>
  <si>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</si>
  <si>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</si>
  <si>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</si>
  <si>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</si>
  <si>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</si>
  <si>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</si>
  <si>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</si>
  <si>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</si>
  <si>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</si>
  <si>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</si>
  <si>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</si>
  <si>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</si>
  <si>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</si>
  <si>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</si>
  <si>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</si>
  <si>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</si>
  <si>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</si>
  <si>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</si>
  <si>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</si>
  <si>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</si>
  <si>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</si>
  <si>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</si>
  <si>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</si>
  <si>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</si>
  <si>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</si>
  <si>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</si>
  <si>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</si>
  <si>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</si>
  <si>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</si>
  <si>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</si>
  <si>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</si>
  <si>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</si>
  <si>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</si>
  <si>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</si>
  <si>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</si>
  <si>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</si>
  <si>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</si>
  <si>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</si>
  <si>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</si>
  <si>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</si>
  <si>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</si>
  <si>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</si>
  <si>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</si>
  <si>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</si>
  <si>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</si>
  <si>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</si>
  <si>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</si>
  <si>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</si>
  <si>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</si>
  <si>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</si>
  <si>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</si>
  <si>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</si>
  <si>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</si>
  <si>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</si>
  <si>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</si>
  <si>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</si>
  <si>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</si>
  <si>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</si>
  <si>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</si>
  <si>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</si>
  <si>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</si>
  <si>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</si>
  <si>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</si>
  <si>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</si>
  <si>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</si>
  <si>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</si>
  <si>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</si>
  <si>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</si>
  <si>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</si>
  <si>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</si>
  <si>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</si>
  <si>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</si>
  <si>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</si>
  <si>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</si>
  <si>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</si>
  <si>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</si>
  <si>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</si>
  <si>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</si>
  <si>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</si>
  <si>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</si>
  <si>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</si>
  <si>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</si>
  <si>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</si>
  <si>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</si>
  <si>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</si>
  <si>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</si>
  <si>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</si>
  <si>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</si>
  <si>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</si>
  <si>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</si>
  <si>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</si>
  <si>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</si>
  <si>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</si>
  <si>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</si>
  <si>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</si>
  <si>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</si>
  <si>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</si>
  <si>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</si>
  <si>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</si>
  <si>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</si>
  <si>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</si>
  <si>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</si>
  <si>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</si>
  <si>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</si>
  <si>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</si>
  <si>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</si>
  <si>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</si>
  <si>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</si>
  <si>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</si>
  <si>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</si>
  <si>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</si>
  <si>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</si>
  <si>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</si>
  <si>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</si>
  <si>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</si>
  <si>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</si>
  <si>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</si>
  <si>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</si>
  <si>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</si>
  <si>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</si>
  <si>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</si>
  <si>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</si>
  <si>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</si>
  <si>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</si>
  <si>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</si>
  <si>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</si>
  <si>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</si>
  <si>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</si>
  <si>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</si>
  <si>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</si>
  <si>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</si>
  <si>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</si>
  <si>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</si>
  <si>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</si>
  <si>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</si>
  <si>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</si>
  <si>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</si>
  <si>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</si>
  <si>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</si>
  <si>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</si>
  <si>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</si>
  <si>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</si>
  <si>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</si>
  <si>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</si>
  <si>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</si>
  <si>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</si>
  <si>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</si>
  <si>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</si>
  <si>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</si>
  <si>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</si>
  <si>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</si>
  <si>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</si>
  <si>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</si>
  <si>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</si>
  <si>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</si>
  <si>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</si>
  <si>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</si>
  <si>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</si>
  <si>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</si>
  <si>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</si>
  <si>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</si>
  <si>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</si>
  <si>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</si>
  <si>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</si>
  <si>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</si>
  <si>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</si>
  <si>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</si>
  <si>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</si>
  <si>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</si>
  <si>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</si>
  <si>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</si>
  <si>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</si>
  <si>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</si>
  <si>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</si>
  <si>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</si>
  <si>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</si>
  <si>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</si>
  <si>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</si>
  <si>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</si>
  <si>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</si>
  <si>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</si>
  <si>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</si>
  <si>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</si>
  <si>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</si>
  <si>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</si>
  <si>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</si>
  <si>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</si>
  <si>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</si>
  <si>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</si>
  <si>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</si>
  <si>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</si>
  <si>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</si>
  <si>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</si>
  <si>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</si>
  <si>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</si>
  <si>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</si>
  <si>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</si>
  <si>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</si>
  <si>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</si>
  <si>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</si>
  <si>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</si>
  <si>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</si>
  <si>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</si>
  <si>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</si>
  <si>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</si>
  <si>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</si>
  <si>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</si>
  <si>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</si>
  <si>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</si>
  <si>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</si>
  <si>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</si>
  <si>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</si>
  <si>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</si>
  <si>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</si>
  <si>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</si>
  <si>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</si>
  <si>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</si>
  <si>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</si>
  <si>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</si>
  <si>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</si>
  <si>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</si>
  <si>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</si>
  <si>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</si>
  <si>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</si>
  <si>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</si>
  <si>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</si>
  <si>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</si>
  <si>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</si>
  <si>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</si>
  <si>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</si>
  <si>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</si>
  <si>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</si>
  <si>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</si>
  <si>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</si>
  <si>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</si>
  <si>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</si>
  <si>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</si>
  <si>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</si>
  <si>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</si>
  <si>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</si>
  <si>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</si>
  <si>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</si>
  <si>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</si>
  <si>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</si>
  <si>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</si>
  <si>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</si>
  <si>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</si>
  <si>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</si>
  <si>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</si>
  <si>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</si>
  <si>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</si>
  <si>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</si>
  <si>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</si>
  <si>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</si>
  <si>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</si>
  <si>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</si>
  <si>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</si>
  <si>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</si>
  <si>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</si>
  <si>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</si>
  <si>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</si>
  <si>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</si>
  <si>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</si>
  <si>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</si>
  <si>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</si>
  <si>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</si>
  <si>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</si>
  <si>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</si>
  <si>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</si>
  <si>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</si>
  <si>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</si>
  <si>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</si>
  <si>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</si>
  <si>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</si>
  <si>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</si>
  <si>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</si>
  <si>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</si>
  <si>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</si>
  <si>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</si>
  <si>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</si>
  <si>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</si>
  <si>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</si>
  <si>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</si>
  <si>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</si>
  <si>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</si>
  <si>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</si>
  <si>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</si>
  <si>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</si>
  <si>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</si>
  <si>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</si>
  <si>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</si>
  <si>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</si>
  <si>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</si>
  <si>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</si>
  <si>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</si>
  <si>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</si>
  <si>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</si>
  <si>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</si>
  <si>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</si>
  <si>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</si>
  <si>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</si>
  <si>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</si>
  <si>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</si>
  <si>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</si>
  <si>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</si>
  <si>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</si>
  <si>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</si>
  <si>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</si>
  <si>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</si>
  <si>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</si>
  <si>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</si>
  <si>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</si>
  <si>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</si>
  <si>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</si>
  <si>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</si>
  <si>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</si>
  <si>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</si>
  <si>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</si>
  <si>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</si>
  <si>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</si>
  <si>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</si>
  <si>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</si>
  <si>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</si>
  <si>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</si>
  <si>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</si>
  <si>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</si>
  <si>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</si>
  <si>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</si>
  <si>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</si>
  <si>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</si>
  <si>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</si>
  <si>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</si>
  <si>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</si>
  <si>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</si>
  <si>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</si>
  <si>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</si>
  <si>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</si>
  <si>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</si>
  <si>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</si>
  <si>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</si>
  <si>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</si>
  <si>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</si>
  <si>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</si>
  <si>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</si>
  <si>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</si>
  <si>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</si>
  <si>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</si>
  <si>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</si>
  <si>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</si>
  <si>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</si>
  <si>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</si>
  <si>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</si>
  <si>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</si>
  <si>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</si>
  <si>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</si>
  <si>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</si>
  <si>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</si>
  <si>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</si>
  <si>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</si>
  <si>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</si>
  <si>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</si>
  <si>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</si>
  <si>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</si>
  <si>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</si>
  <si>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</si>
  <si>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</si>
  <si>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</si>
  <si>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</si>
  <si>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</si>
  <si>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</si>
  <si>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</si>
  <si>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</si>
  <si>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</si>
  <si>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</si>
  <si>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</si>
  <si>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</si>
  <si>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</si>
  <si>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</si>
  <si>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</si>
  <si>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</si>
  <si>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</si>
  <si>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</si>
  <si>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</si>
  <si>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</si>
  <si>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</si>
  <si>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</si>
  <si>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</si>
  <si>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</si>
  <si>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</si>
  <si>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</si>
  <si>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</si>
  <si>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</si>
  <si>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</si>
  <si>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</si>
  <si>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</si>
  <si>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</si>
  <si>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</si>
  <si>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</si>
  <si>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</si>
  <si>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</si>
  <si>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</si>
  <si>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</si>
  <si>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</si>
  <si>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</si>
  <si>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</si>
  <si>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</si>
  <si>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</si>
  <si>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</si>
  <si>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</si>
  <si>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</si>
  <si>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</si>
  <si>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</si>
  <si>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</si>
  <si>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</si>
  <si>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</si>
  <si>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</si>
  <si>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</si>
  <si>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</si>
  <si>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</si>
  <si>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</si>
  <si>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</si>
  <si>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</si>
  <si>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</si>
  <si>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</si>
  <si>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</si>
  <si>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</si>
  <si>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</si>
  <si>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</si>
  <si>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</si>
  <si>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</si>
  <si>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</si>
  <si>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</si>
  <si>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</si>
  <si>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</si>
  <si>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</si>
  <si>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</si>
  <si>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</si>
  <si>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</si>
  <si>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</si>
  <si>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</si>
  <si>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</si>
  <si>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</si>
  <si>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</si>
  <si>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</si>
  <si>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</si>
  <si>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</si>
  <si>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</si>
  <si>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</si>
  <si>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</si>
  <si>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</si>
  <si>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</si>
  <si>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</si>
  <si>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</si>
  <si>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</si>
  <si>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</si>
  <si>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</si>
  <si>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</si>
  <si>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</si>
  <si>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</si>
  <si>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</si>
  <si>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</si>
  <si>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</si>
  <si>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</si>
  <si>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</si>
  <si>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</si>
  <si>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</si>
  <si>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</si>
  <si>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</si>
  <si>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</si>
  <si>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</si>
  <si>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</si>
  <si>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</si>
  <si>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</si>
  <si>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</si>
  <si>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</si>
  <si>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</si>
  <si>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</si>
  <si>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</si>
  <si>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</si>
  <si>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</si>
  <si>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</si>
  <si>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</si>
  <si>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</si>
  <si>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</si>
  <si>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</si>
  <si>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</si>
  <si>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</si>
  <si>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</si>
  <si>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</si>
  <si>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</si>
  <si>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</si>
  <si>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</si>
  <si>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</si>
  <si>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</si>
  <si>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</si>
  <si>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</si>
  <si>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</si>
  <si>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</si>
  <si>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</si>
  <si>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</si>
  <si>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</si>
  <si>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</si>
  <si>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</si>
  <si>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</si>
  <si>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</si>
  <si>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</si>
  <si>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</si>
  <si>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</si>
  <si>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</si>
  <si>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</si>
  <si>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</si>
  <si>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</si>
  <si>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</si>
  <si>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</si>
  <si>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</si>
  <si>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</si>
  <si>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</si>
  <si>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</si>
  <si>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</si>
  <si>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</si>
  <si>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</si>
  <si>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</si>
  <si>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</si>
  <si>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</si>
  <si>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</si>
  <si>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</si>
  <si>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</si>
  <si>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</si>
  <si>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</si>
  <si>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</si>
  <si>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</si>
  <si>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</si>
  <si>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</si>
  <si>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</si>
  <si>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</si>
  <si>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</si>
  <si>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</si>
  <si>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</si>
  <si>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</si>
  <si>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</si>
  <si>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</si>
  <si>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</si>
  <si>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</si>
  <si>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</si>
  <si>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</si>
  <si>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</si>
  <si>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</si>
  <si>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</si>
  <si>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</si>
  <si>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</si>
  <si>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</si>
  <si>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</si>
  <si>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</si>
  <si>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</si>
  <si>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</si>
  <si>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</si>
  <si>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</si>
  <si>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</si>
  <si>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</si>
  <si>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</si>
  <si>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</si>
  <si>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</si>
  <si>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</si>
  <si>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</si>
  <si>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</si>
  <si>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</si>
  <si>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</si>
  <si>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</si>
  <si>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</si>
  <si>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</si>
  <si>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</si>
  <si>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</si>
  <si>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</si>
  <si>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</si>
  <si>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</si>
  <si>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</si>
  <si>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</si>
  <si>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</si>
  <si>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</si>
  <si>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</si>
  <si>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</si>
  <si>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</si>
  <si>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</si>
  <si>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</si>
  <si>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</si>
  <si>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</si>
  <si>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</si>
  <si>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</si>
  <si>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</si>
  <si>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</si>
  <si>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</si>
  <si>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</si>
  <si>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</si>
  <si>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</si>
  <si>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</si>
  <si>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</si>
  <si>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</si>
  <si>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</si>
  <si>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</si>
  <si>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</si>
  <si>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</si>
  <si>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</si>
  <si>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</si>
  <si>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</si>
  <si>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</si>
  <si>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</si>
  <si>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</si>
  <si>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</si>
  <si>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</si>
  <si>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</si>
  <si>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</si>
  <si>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</si>
  <si>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</si>
  <si>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</si>
  <si>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</si>
  <si>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</si>
  <si>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</si>
  <si>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</si>
  <si>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</si>
  <si>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</si>
  <si>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</si>
  <si>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</si>
  <si>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</si>
  <si>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</si>
  <si>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</si>
  <si>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</si>
  <si>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</si>
  <si>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</si>
  <si>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</si>
  <si>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</si>
  <si>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</si>
  <si>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</si>
  <si>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</si>
  <si>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</si>
  <si>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</si>
  <si>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</si>
  <si>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</si>
  <si>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</si>
  <si>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</si>
  <si>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</si>
  <si>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</si>
  <si>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</si>
  <si>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</si>
  <si>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</si>
  <si>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</si>
  <si>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</si>
  <si>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</si>
  <si>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</si>
  <si>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</si>
  <si>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</si>
  <si>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</si>
  <si>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</si>
  <si>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</si>
  <si>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</si>
  <si>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</si>
  <si>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</si>
  <si>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</si>
  <si>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</si>
  <si>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</si>
  <si>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</si>
  <si>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</si>
  <si>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</si>
  <si>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</si>
  <si>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</si>
  <si>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</si>
  <si>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</si>
  <si>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</si>
  <si>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</si>
  <si>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</si>
  <si>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</si>
  <si>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</si>
  <si>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</si>
  <si>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</si>
  <si>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</si>
  <si>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</si>
  <si>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</si>
  <si>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</si>
  <si>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</si>
  <si>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</si>
  <si>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</si>
  <si>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</si>
  <si>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</si>
  <si>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</si>
  <si>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</si>
  <si>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</si>
  <si>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</si>
  <si>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</si>
  <si>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</si>
  <si>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</si>
  <si>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</si>
  <si>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</si>
  <si>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</si>
  <si>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</si>
  <si>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</si>
  <si>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</si>
  <si>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</si>
  <si>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</si>
  <si>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</si>
  <si>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</si>
  <si>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</si>
  <si>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</si>
  <si>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</si>
  <si>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</si>
  <si>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</si>
  <si>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</si>
  <si>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</si>
  <si>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</si>
  <si>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</si>
  <si>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</si>
  <si>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</si>
  <si>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</si>
  <si>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</si>
  <si>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</si>
  <si>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</si>
  <si>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</si>
  <si>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</si>
  <si>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</si>
  <si>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</si>
  <si>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</si>
  <si>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</si>
  <si>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</si>
  <si>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</si>
  <si>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</si>
  <si>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</si>
  <si>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</si>
  <si>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</si>
  <si>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</si>
  <si>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</si>
  <si>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</si>
  <si>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</si>
  <si>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</si>
  <si>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</si>
  <si>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</si>
  <si>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</si>
  <si>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</si>
  <si>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</si>
  <si>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</si>
  <si>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</si>
  <si>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</si>
  <si>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</si>
  <si>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</si>
  <si>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</si>
  <si>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</si>
  <si>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</si>
  <si>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</si>
  <si>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</si>
  <si>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</si>
  <si>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</si>
  <si>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</si>
  <si>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</si>
  <si>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</si>
  <si>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</si>
  <si>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</si>
  <si>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</si>
  <si>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</si>
  <si>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</si>
  <si>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</si>
  <si>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</si>
  <si>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</si>
  <si>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</si>
  <si>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</si>
  <si>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</si>
  <si>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</si>
  <si>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</si>
  <si>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</si>
  <si>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</si>
  <si>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</si>
  <si>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</si>
  <si>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</si>
  <si>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</si>
  <si>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</si>
  <si>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</si>
  <si>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</si>
  <si>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</si>
  <si>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</si>
  <si>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</si>
  <si>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</si>
  <si>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</si>
  <si>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</si>
  <si>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</si>
  <si>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</si>
  <si>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</si>
  <si>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</si>
  <si>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</si>
  <si>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</si>
  <si>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</si>
  <si>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</si>
  <si>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</si>
  <si>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</si>
  <si>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</si>
  <si>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</si>
  <si>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</si>
  <si>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</si>
  <si>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</si>
  <si>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</si>
  <si>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</si>
  <si>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</si>
  <si>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</si>
  <si>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</si>
  <si>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</si>
  <si>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</si>
  <si>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</si>
  <si>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</si>
  <si>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</si>
  <si>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</si>
  <si>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</si>
  <si>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</si>
  <si>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</si>
  <si>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</si>
  <si>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</si>
  <si>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</si>
  <si>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</si>
  <si>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</si>
  <si>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</si>
  <si>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</si>
  <si>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</si>
  <si>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</si>
  <si>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</si>
  <si>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</si>
  <si>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</si>
  <si>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</si>
  <si>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</si>
  <si>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</si>
  <si>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</si>
  <si>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</si>
  <si>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</si>
  <si>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</si>
  <si>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</si>
  <si>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</si>
  <si>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</si>
  <si>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</si>
  <si>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</si>
  <si>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</si>
  <si>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</si>
  <si>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</si>
  <si>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</si>
  <si>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</si>
  <si>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</si>
  <si>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</si>
  <si>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</si>
  <si>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</si>
  <si>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</si>
  <si>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</si>
  <si>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</si>
  <si>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</si>
  <si>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</si>
  <si>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</si>
  <si>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</si>
  <si>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</si>
  <si>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</si>
  <si>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</si>
  <si>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</si>
  <si>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</si>
  <si>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</si>
  <si>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</si>
  <si>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</si>
  <si>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</si>
  <si>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</si>
  <si>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</si>
  <si>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</si>
  <si>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</si>
  <si>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</si>
  <si>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</si>
  <si>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</si>
  <si>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</si>
  <si>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</si>
  <si>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</si>
  <si>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</si>
  <si>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</si>
  <si>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</si>
  <si>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</si>
  <si>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</si>
  <si>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</si>
  <si>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</si>
  <si>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</si>
  <si>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</si>
  <si>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</si>
  <si>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</si>
  <si>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</si>
  <si>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</si>
  <si>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</si>
  <si>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</si>
  <si>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</si>
  <si>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</si>
  <si>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</si>
  <si>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</si>
  <si>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</si>
  <si>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</si>
  <si>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</si>
  <si>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</si>
  <si>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</si>
  <si>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</si>
  <si>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</si>
  <si>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</si>
  <si>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</si>
  <si>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</si>
  <si>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</si>
  <si>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</si>
  <si>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</si>
  <si>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</si>
  <si>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</si>
  <si>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</si>
  <si>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</si>
  <si>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</si>
  <si>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</si>
  <si>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</si>
  <si>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</si>
  <si>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</si>
  <si>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</si>
  <si>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</si>
  <si>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</si>
  <si>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</si>
  <si>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</si>
  <si>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</si>
  <si>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</si>
  <si>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</si>
  <si>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</si>
  <si>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</si>
  <si>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</si>
  <si>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</si>
  <si>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</si>
  <si>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</si>
  <si>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</si>
  <si>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</si>
  <si>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</si>
  <si>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</si>
  <si>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</si>
  <si>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</si>
  <si>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</si>
  <si>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</si>
  <si>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</si>
  <si>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</si>
  <si>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</si>
  <si>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</si>
  <si>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</si>
  <si>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</si>
  <si>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</si>
  <si>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</si>
  <si>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</si>
  <si>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</si>
  <si>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</si>
  <si>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</si>
  <si>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</si>
  <si>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</si>
  <si>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</si>
  <si>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</si>
  <si>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</si>
  <si>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</si>
  <si>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</si>
  <si>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</si>
  <si>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</si>
  <si>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</si>
  <si>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</si>
  <si>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</si>
  <si>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</si>
  <si>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</si>
  <si>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</si>
  <si>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</si>
  <si>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</si>
  <si>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</si>
  <si>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</si>
  <si>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</si>
  <si>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</si>
  <si>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</si>
  <si>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</si>
  <si>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</si>
  <si>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</si>
  <si>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</si>
  <si>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</si>
  <si>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</si>
  <si>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</si>
  <si>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</si>
  <si>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</si>
  <si>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</si>
  <si>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</si>
  <si>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</si>
  <si>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</si>
  <si>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</si>
  <si>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</si>
  <si>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</si>
  <si>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</si>
  <si>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</si>
  <si>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</si>
  <si>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</si>
  <si>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</si>
  <si>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</si>
  <si>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</si>
  <si>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</si>
  <si>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</si>
  <si>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</si>
  <si>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</si>
  <si>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</si>
  <si>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</si>
  <si>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</si>
  <si>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</si>
  <si>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</si>
  <si>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</si>
  <si>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</si>
  <si>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</si>
  <si>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</si>
  <si>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</si>
  <si>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</si>
  <si>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</si>
  <si>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</si>
  <si>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</si>
  <si>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</si>
  <si>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</si>
  <si>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</si>
  <si>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</si>
  <si>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</si>
  <si>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</si>
  <si>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</si>
  <si>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</si>
  <si>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</si>
  <si>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</si>
  <si>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</si>
  <si>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</si>
  <si>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</si>
  <si>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</si>
  <si>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</si>
  <si>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</si>
  <si>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</si>
  <si>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</si>
  <si>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</si>
  <si>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</si>
  <si>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</si>
  <si>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</si>
  <si>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</si>
  <si>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</si>
  <si>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</si>
  <si>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</si>
  <si>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</si>
  <si>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</si>
  <si>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</si>
  <si>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</si>
  <si>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</si>
  <si>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</si>
  <si>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</si>
  <si>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</si>
  <si>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</si>
  <si>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</si>
  <si>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</si>
  <si>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</si>
  <si>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</si>
  <si>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</si>
  <si>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</si>
  <si>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</si>
  <si>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</si>
  <si>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</si>
  <si>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</si>
  <si>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</si>
  <si>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</si>
  <si>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</si>
  <si>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</si>
  <si>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</si>
  <si>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</si>
  <si>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</si>
  <si>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</si>
  <si>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</si>
  <si>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</si>
  <si>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</si>
  <si>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</si>
  <si>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</si>
  <si>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</si>
  <si>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</si>
  <si>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</si>
  <si>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</si>
  <si>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</si>
  <si>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</si>
  <si>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</si>
  <si>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</si>
  <si>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</si>
  <si>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</si>
  <si>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</si>
  <si>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</si>
  <si>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</si>
  <si>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</si>
  <si>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</si>
  <si>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</si>
  <si>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</si>
  <si>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</si>
  <si>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</si>
  <si>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</si>
  <si>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</si>
  <si>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</si>
  <si>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</si>
  <si>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</si>
  <si>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</si>
  <si>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</si>
  <si>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</si>
  <si>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</si>
  <si>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</si>
  <si>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</si>
  <si>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</si>
  <si>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</si>
  <si>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</si>
  <si>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</si>
  <si>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</si>
  <si>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</si>
  <si>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</si>
  <si>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</si>
  <si>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</si>
  <si>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</si>
  <si>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</si>
  <si>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</si>
  <si>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</si>
  <si>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</si>
  <si>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</si>
  <si>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</si>
  <si>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</si>
  <si>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</si>
  <si>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</si>
  <si>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</si>
  <si>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</si>
  <si>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</si>
  <si>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</si>
  <si>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</si>
  <si>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</si>
  <si>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</si>
  <si>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</si>
  <si>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</si>
  <si>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</si>
  <si>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</si>
  <si>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</si>
  <si>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</si>
  <si>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</si>
  <si>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</si>
  <si>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</si>
  <si>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</si>
  <si>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</si>
  <si>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</si>
  <si>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</si>
  <si>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</si>
  <si>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</si>
  <si>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</si>
  <si>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</si>
  <si>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</si>
  <si>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</si>
  <si>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</si>
  <si>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</si>
  <si>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</si>
  <si>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</si>
  <si>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</si>
  <si>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</si>
  <si>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</si>
  <si>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</si>
  <si>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</si>
  <si>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</si>
  <si>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</si>
  <si>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</si>
  <si>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</si>
  <si>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</si>
  <si>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</si>
  <si>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</si>
  <si>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</si>
  <si>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</si>
  <si>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</si>
  <si>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</si>
  <si>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</si>
  <si>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</si>
  <si>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</si>
  <si>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</si>
  <si>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</si>
  <si>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</si>
  <si>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</si>
  <si>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</si>
  <si>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</si>
  <si>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</si>
  <si>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</si>
  <si>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</si>
  <si>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</si>
  <si>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</si>
  <si>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</si>
  <si>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</si>
  <si>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</si>
  <si>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</si>
  <si>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</si>
  <si>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</si>
  <si>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</si>
  <si>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</si>
  <si>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</si>
  <si>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</si>
  <si>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</si>
  <si>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</si>
  <si>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</si>
  <si>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</si>
  <si>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</si>
  <si>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</si>
  <si>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</si>
  <si>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</si>
  <si>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</si>
  <si>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</si>
  <si>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</si>
  <si>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</si>
  <si>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</si>
  <si>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</si>
  <si>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</si>
  <si>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</si>
  <si>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</si>
  <si>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</si>
  <si>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</si>
  <si>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</si>
  <si>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</si>
  <si>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</si>
  <si>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</si>
  <si>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</si>
  <si>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</si>
  <si>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</si>
  <si>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</si>
  <si>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</si>
  <si>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</si>
  <si>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</si>
  <si>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</si>
  <si>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</si>
  <si>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</si>
  <si>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</si>
  <si>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</si>
  <si>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</si>
  <si>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</si>
  <si>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</si>
  <si>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</si>
  <si>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</si>
  <si>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</si>
  <si>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</si>
  <si>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</si>
  <si>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</si>
  <si>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</si>
  <si>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</si>
  <si>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</si>
  <si>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</si>
  <si>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</si>
  <si>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</si>
  <si>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</si>
  <si>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</si>
  <si>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</si>
  <si>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</si>
  <si>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</si>
  <si>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</si>
  <si>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</si>
  <si>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</si>
  <si>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</si>
  <si>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</si>
  <si>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</si>
  <si>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</si>
  <si>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</si>
  <si>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</si>
  <si>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</si>
  <si>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</si>
  <si>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</si>
  <si>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</si>
  <si>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</si>
  <si>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</si>
  <si>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</si>
  <si>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</si>
  <si>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</si>
  <si>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</si>
  <si>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</si>
  <si>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</si>
  <si>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</si>
  <si>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</si>
  <si>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</si>
  <si>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</si>
  <si>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</si>
  <si>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</si>
  <si>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</si>
  <si>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</si>
  <si>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</si>
  <si>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</si>
  <si>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</si>
  <si>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</si>
  <si>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</si>
  <si>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</si>
  <si>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</si>
  <si>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</si>
  <si>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</si>
  <si>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</si>
  <si>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</si>
  <si>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</si>
  <si>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</si>
  <si>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</si>
  <si>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</si>
  <si>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</si>
  <si>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</si>
  <si>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</si>
  <si>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</si>
  <si>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</si>
  <si>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</si>
  <si>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</si>
  <si>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</si>
  <si>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</si>
  <si>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</si>
  <si>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</si>
  <si>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</si>
  <si>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</si>
  <si>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</si>
  <si>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</si>
  <si>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</si>
  <si>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</si>
  <si>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</si>
  <si>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</si>
  <si>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</si>
  <si>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</si>
  <si>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</si>
  <si>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</si>
  <si>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</si>
  <si>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</si>
  <si>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</si>
  <si>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</si>
  <si>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</si>
  <si>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</si>
  <si>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</si>
  <si>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</si>
  <si>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</si>
  <si>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</si>
  <si>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</si>
  <si>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</si>
  <si>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</si>
  <si>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</si>
  <si>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</si>
  <si>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</si>
  <si>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</si>
  <si>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</si>
  <si>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</si>
  <si>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</si>
  <si>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</si>
  <si>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</si>
  <si>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</si>
  <si>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</si>
  <si>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</si>
  <si>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</si>
  <si>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</si>
  <si>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</si>
  <si>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</si>
  <si>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</si>
  <si>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</si>
  <si>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</si>
  <si>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</si>
  <si>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</si>
  <si>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</si>
  <si>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</si>
  <si>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</si>
  <si>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</si>
  <si>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</si>
  <si>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</si>
  <si>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</si>
  <si>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</si>
  <si>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</si>
  <si>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</si>
  <si>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</si>
  <si>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</si>
  <si>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</si>
  <si>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</si>
  <si>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</si>
  <si>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</si>
  <si>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</si>
  <si>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</si>
  <si>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</si>
  <si>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</si>
  <si>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</si>
  <si>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</si>
  <si>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</si>
  <si>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</si>
  <si>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</si>
  <si>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</si>
  <si>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</si>
  <si>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</si>
  <si>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</si>
  <si>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</si>
  <si>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</si>
  <si>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</si>
  <si>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</si>
  <si>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</si>
  <si>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</si>
  <si>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</si>
  <si>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</si>
  <si>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</si>
  <si>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</si>
  <si>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</si>
  <si>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</si>
  <si>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</si>
  <si>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</si>
  <si>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</si>
  <si>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</si>
  <si>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</si>
  <si>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</si>
  <si>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</si>
  <si>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</si>
  <si>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</si>
  <si>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</si>
  <si>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</si>
  <si>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</si>
  <si>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</si>
  <si>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</si>
  <si>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</si>
  <si>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</si>
  <si>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</si>
  <si>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</si>
  <si>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</si>
  <si>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</si>
  <si>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</si>
  <si>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</si>
  <si>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</si>
  <si>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</si>
  <si>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</si>
  <si>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</si>
  <si>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</si>
  <si>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</si>
  <si>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</si>
  <si>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</si>
  <si>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</si>
  <si>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</si>
  <si>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</si>
  <si>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</si>
  <si>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</si>
  <si>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</si>
  <si>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</si>
  <si>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</si>
  <si>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</si>
  <si>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</si>
  <si>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</si>
  <si>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</si>
  <si>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</si>
  <si>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</si>
  <si>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</si>
  <si>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</si>
  <si>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</si>
  <si>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</si>
  <si>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</si>
  <si>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</si>
  <si>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</si>
  <si>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</si>
  <si>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</si>
  <si>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</si>
  <si>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</si>
  <si>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</si>
  <si>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</si>
  <si>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</si>
  <si>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</si>
  <si>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</si>
  <si>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</si>
  <si>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</si>
  <si>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</si>
  <si>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</si>
  <si>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</si>
  <si>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</si>
  <si>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</si>
  <si>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</si>
  <si>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</si>
  <si>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</si>
  <si>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</si>
  <si>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</si>
  <si>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</si>
  <si>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</si>
  <si>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</si>
  <si>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</si>
  <si>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</si>
  <si>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</si>
  <si>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</si>
  <si>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</si>
  <si>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</si>
  <si>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</si>
  <si>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</si>
  <si>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</si>
  <si>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</si>
  <si>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</si>
  <si>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</si>
  <si>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</si>
  <si>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</si>
  <si>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</si>
  <si>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</si>
  <si>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</si>
  <si>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</si>
  <si>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</si>
  <si>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</si>
  <si>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</si>
  <si>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</si>
  <si>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</si>
  <si>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</si>
  <si>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</si>
  <si>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</si>
  <si>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</si>
  <si>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</si>
  <si>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</si>
  <si>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</si>
  <si>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</si>
  <si>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</si>
  <si>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</si>
  <si>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</si>
  <si>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</si>
  <si>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</si>
  <si>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</si>
  <si>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</si>
  <si>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</si>
  <si>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</si>
  <si>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</si>
  <si>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</si>
  <si>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</si>
  <si>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</si>
  <si>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</si>
  <si>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</si>
  <si>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</si>
  <si>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</si>
  <si>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</si>
  <si>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</si>
  <si>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</si>
  <si>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</si>
  <si>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</si>
  <si>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</si>
  <si>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</si>
  <si>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</si>
  <si>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</si>
  <si>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</si>
  <si>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</si>
  <si>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</si>
  <si>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</si>
  <si>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</si>
  <si>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</si>
  <si>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</si>
  <si>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</si>
  <si>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</si>
  <si>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</si>
  <si>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</si>
  <si>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</si>
  <si>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</si>
  <si>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</si>
  <si>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</si>
  <si>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</si>
  <si>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</si>
  <si>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</si>
  <si>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</si>
  <si>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</si>
  <si>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</si>
  <si>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</si>
  <si>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</si>
  <si>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</si>
  <si>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</si>
  <si>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</si>
  <si>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</si>
  <si>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</si>
  <si>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</si>
  <si>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</si>
  <si>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</si>
  <si>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</si>
  <si>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</si>
  <si>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</si>
  <si>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</si>
  <si>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</si>
  <si>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</si>
  <si>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</si>
  <si>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</si>
  <si>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</si>
  <si>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</si>
  <si>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</si>
  <si>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</si>
  <si>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</si>
  <si>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</si>
  <si>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</si>
  <si>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</si>
  <si>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</si>
  <si>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</si>
  <si>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</si>
  <si>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</si>
  <si>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</si>
  <si>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</si>
  <si>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</si>
  <si>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</si>
  <si>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</si>
  <si>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</si>
  <si>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</si>
  <si>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</si>
  <si>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</si>
  <si>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</si>
  <si>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</si>
  <si>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</si>
  <si>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</si>
  <si>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</si>
  <si>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</si>
  <si>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</si>
  <si>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</si>
  <si>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</si>
  <si>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</si>
  <si>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</si>
  <si>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</si>
  <si>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</si>
  <si>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</si>
  <si>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</si>
  <si>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</si>
  <si>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</si>
  <si>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</si>
  <si>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</si>
  <si>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</si>
  <si>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</si>
  <si>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</si>
  <si>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</si>
  <si>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</si>
  <si>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</si>
  <si>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</si>
  <si>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</si>
  <si>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</si>
  <si>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</si>
  <si>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</si>
  <si>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</si>
  <si>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</si>
  <si>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</si>
  <si>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</si>
  <si>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</si>
  <si>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</si>
  <si>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</si>
  <si>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</si>
  <si>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</si>
  <si>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</si>
  <si>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</si>
  <si>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</si>
  <si>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</si>
  <si>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</si>
  <si>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</si>
  <si>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</si>
  <si>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</si>
  <si>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</si>
  <si>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</si>
  <si>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</si>
  <si>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</si>
  <si>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</si>
  <si>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</si>
  <si>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</si>
  <si>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</si>
  <si>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</si>
  <si>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</si>
  <si>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</si>
  <si>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</si>
  <si>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</si>
  <si>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</si>
  <si>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</si>
  <si>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</si>
  <si>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</si>
  <si>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</si>
  <si>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</si>
  <si>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</si>
  <si>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</si>
  <si>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</si>
  <si>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</si>
  <si>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</si>
  <si>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</si>
  <si>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</si>
  <si>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</si>
  <si>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</si>
  <si>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</si>
  <si>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</si>
  <si>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</si>
  <si>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</si>
  <si>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</si>
  <si>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</si>
  <si>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</si>
  <si>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</si>
  <si>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</si>
  <si>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</si>
  <si>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</si>
  <si>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</si>
  <si>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</si>
  <si>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</si>
  <si>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</si>
  <si>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</si>
  <si>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</si>
  <si>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</si>
  <si>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</si>
  <si>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</si>
  <si>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</si>
  <si>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</si>
  <si>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</si>
  <si>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</si>
  <si>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</si>
  <si>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</si>
  <si>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</si>
  <si>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</si>
  <si>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</si>
  <si>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</si>
  <si>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</si>
  <si>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</si>
  <si>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</si>
  <si>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</si>
  <si>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</si>
  <si>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</si>
  <si>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</si>
  <si>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</si>
  <si>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</si>
  <si>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</si>
  <si>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</si>
  <si>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</si>
  <si>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</si>
  <si>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</si>
  <si>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</si>
  <si>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</si>
  <si>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</si>
  <si>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</si>
  <si>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</si>
  <si>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</si>
  <si>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</si>
  <si>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</si>
  <si>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</si>
  <si>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</si>
  <si>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</si>
  <si>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</si>
  <si>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</si>
  <si>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</si>
  <si>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</si>
  <si>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</si>
  <si>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</si>
  <si>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</si>
  <si>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</si>
  <si>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</si>
  <si>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</si>
  <si>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</si>
  <si>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</si>
  <si>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</si>
  <si>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</si>
  <si>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</si>
  <si>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</si>
  <si>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</si>
  <si>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</si>
  <si>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</si>
  <si>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</si>
  <si>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</si>
  <si>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</si>
  <si>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</si>
  <si>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</si>
  <si>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</si>
  <si>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</si>
  <si>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</si>
  <si>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</si>
  <si>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</si>
  <si>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</si>
  <si>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</si>
  <si>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</si>
  <si>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</si>
  <si>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</si>
  <si>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</si>
  <si>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</si>
  <si>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</si>
  <si>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</si>
  <si>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</si>
  <si>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</si>
  <si>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</si>
  <si>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</si>
  <si>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</si>
  <si>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</si>
  <si>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</si>
  <si>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</si>
  <si>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</si>
  <si>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</si>
  <si>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</si>
  <si>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</si>
  <si>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</si>
  <si>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</si>
  <si>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</si>
  <si>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</si>
  <si>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</si>
  <si>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</si>
  <si>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</si>
  <si>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</si>
  <si>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</si>
  <si>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</si>
  <si>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</si>
  <si>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</si>
  <si>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</si>
  <si>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</si>
  <si>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</si>
  <si>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</si>
  <si>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</si>
  <si>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</si>
  <si>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</si>
  <si>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</si>
  <si>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</si>
  <si>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</si>
  <si>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</si>
  <si>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</si>
  <si>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</si>
  <si>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</si>
  <si>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</si>
  <si>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</si>
  <si>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</si>
  <si>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</si>
  <si>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</si>
  <si>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</si>
  <si>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</si>
  <si>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</si>
  <si>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</si>
  <si>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</si>
  <si>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</si>
  <si>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</si>
  <si>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</si>
  <si>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</si>
  <si>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</si>
  <si>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</si>
  <si>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</si>
  <si>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</si>
  <si>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</si>
  <si>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</si>
  <si>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</si>
  <si>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</si>
  <si>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</si>
  <si>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</si>
  <si>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</si>
  <si>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</si>
  <si>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</si>
  <si>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</si>
  <si>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</si>
  <si>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</si>
  <si>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</si>
  <si>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</si>
  <si>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</si>
  <si>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</si>
  <si>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</si>
  <si>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</si>
  <si>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</si>
  <si>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</si>
  <si>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</si>
  <si>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</si>
  <si>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</si>
  <si>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</si>
  <si>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</si>
  <si>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</si>
  <si>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</si>
  <si>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</si>
  <si>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</si>
  <si>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</si>
  <si>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</si>
  <si>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</si>
  <si>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</si>
  <si>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</si>
  <si>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</si>
  <si>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</si>
  <si>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</si>
  <si>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</si>
  <si>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</si>
  <si>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</si>
  <si>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</si>
  <si>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</si>
  <si>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</si>
  <si>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</si>
  <si>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</si>
  <si>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</si>
  <si>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</si>
  <si>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</si>
  <si>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</si>
  <si>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</si>
  <si>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</si>
  <si>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</si>
  <si>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</si>
  <si>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</si>
  <si>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</si>
  <si>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</si>
  <si>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</si>
  <si>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</si>
  <si>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</si>
  <si>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</si>
  <si>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</si>
  <si>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</si>
  <si>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</si>
  <si>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</si>
  <si>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</si>
  <si>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</si>
  <si>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</si>
  <si>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</si>
  <si>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</si>
  <si>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</si>
  <si>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</si>
  <si>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</si>
  <si>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</si>
  <si>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</si>
  <si>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</si>
  <si>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</si>
  <si>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</si>
  <si>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</si>
  <si>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</si>
  <si>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</si>
  <si>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</si>
  <si>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</si>
  <si>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</si>
  <si>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</si>
  <si>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</si>
  <si>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</si>
  <si>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</si>
  <si>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</si>
  <si>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</si>
  <si>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</si>
  <si>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</si>
  <si>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</si>
  <si>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</si>
  <si>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</si>
  <si>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</si>
  <si>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</si>
  <si>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</si>
  <si>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</si>
  <si>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</si>
  <si>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</si>
  <si>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</si>
  <si>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</si>
  <si>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</si>
  <si>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</si>
  <si>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</si>
  <si>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</si>
  <si>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</si>
  <si>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</si>
  <si>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</si>
  <si>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</si>
  <si>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</si>
  <si>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</si>
  <si>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</si>
  <si>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</si>
  <si>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</si>
  <si>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</si>
  <si>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</si>
  <si>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</si>
  <si>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</si>
  <si>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</si>
  <si>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</si>
  <si>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</si>
  <si>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</si>
  <si>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</si>
  <si>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</si>
  <si>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</si>
  <si>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</si>
  <si>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</si>
  <si>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</si>
  <si>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</si>
  <si>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</si>
  <si>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</si>
  <si>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</si>
  <si>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</si>
  <si>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</si>
  <si>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</si>
  <si>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</si>
  <si>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</si>
  <si>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</si>
  <si>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</si>
  <si>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</si>
  <si>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</si>
  <si>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</si>
  <si>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</si>
  <si>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</si>
  <si>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</si>
  <si>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</si>
  <si>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</si>
  <si>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</si>
  <si>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</si>
  <si>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</si>
  <si>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</si>
  <si>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</si>
  <si>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</si>
  <si>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</si>
  <si>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</si>
  <si>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</si>
  <si>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</si>
  <si>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</si>
  <si>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</si>
  <si>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</si>
  <si>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</si>
  <si>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</si>
  <si>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</si>
  <si>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</si>
  <si>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</si>
  <si>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</si>
  <si>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</si>
  <si>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</si>
  <si>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</si>
  <si>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</si>
  <si>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</si>
  <si>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</si>
  <si>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</si>
  <si>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</si>
  <si>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</si>
  <si>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</si>
  <si>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</si>
  <si>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</si>
  <si>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</si>
  <si>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</si>
  <si>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</si>
  <si>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</si>
  <si>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</si>
  <si>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</si>
  <si>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</si>
  <si>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</si>
  <si>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</si>
  <si>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</si>
  <si>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</si>
  <si>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</si>
  <si>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</si>
  <si>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</si>
  <si>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</si>
  <si>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</si>
  <si>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</si>
  <si>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</si>
  <si>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</si>
  <si>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</si>
  <si>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</si>
  <si>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</si>
  <si>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</si>
  <si>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</si>
  <si>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</si>
  <si>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</si>
  <si>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</si>
  <si>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</si>
  <si>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</si>
  <si>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</si>
  <si>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</si>
  <si>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</si>
  <si>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</si>
  <si>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</si>
  <si>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</si>
  <si>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</si>
  <si>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</si>
  <si>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</si>
  <si>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</si>
  <si>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</si>
  <si>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</si>
  <si>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</si>
  <si>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</si>
  <si>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</si>
  <si>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</si>
  <si>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</si>
  <si>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</si>
  <si>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</si>
  <si>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</si>
  <si>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</si>
  <si>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</si>
  <si>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</si>
  <si>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</si>
  <si>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</si>
  <si>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</si>
  <si>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</si>
  <si>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</si>
  <si>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</si>
  <si>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</si>
  <si>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</si>
  <si>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</si>
  <si>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</si>
  <si>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</si>
  <si>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</si>
  <si>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</si>
  <si>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</si>
  <si>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</si>
  <si>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</si>
  <si>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</si>
  <si>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</si>
  <si>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</si>
  <si>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</si>
  <si>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</si>
  <si>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</si>
  <si>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</si>
  <si>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</si>
  <si>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</si>
  <si>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</si>
  <si>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</si>
  <si>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</si>
  <si>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</si>
  <si>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</si>
  <si>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</si>
  <si>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</si>
  <si>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</si>
  <si>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</si>
  <si>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</si>
  <si>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</si>
  <si>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</si>
  <si>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</si>
  <si>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</si>
  <si>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</si>
  <si>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</si>
  <si>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</si>
  <si>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</si>
  <si>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</si>
  <si>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</si>
  <si>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</si>
  <si>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</si>
  <si>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</si>
  <si>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</si>
  <si>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</si>
  <si>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</si>
  <si>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</si>
  <si>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</si>
  <si>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</si>
  <si>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</si>
  <si>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</si>
  <si>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</si>
  <si>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</si>
  <si>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</si>
  <si>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</si>
  <si>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</si>
  <si>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</si>
  <si>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</si>
  <si>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</si>
  <si>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</si>
  <si>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</si>
  <si>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</si>
  <si>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</si>
  <si>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</si>
  <si>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</si>
  <si>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</si>
  <si>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</si>
  <si>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</si>
  <si>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</si>
  <si>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</si>
  <si>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</si>
  <si>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</si>
  <si>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</si>
  <si>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</si>
  <si>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</si>
  <si>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</si>
  <si>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</si>
  <si>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</si>
  <si>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</si>
  <si>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</si>
  <si>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</si>
  <si>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</si>
  <si>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</si>
  <si>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</si>
  <si>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</si>
  <si>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</si>
  <si>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</si>
  <si>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</si>
  <si>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</si>
  <si>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</si>
  <si>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</si>
  <si>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</si>
  <si>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</si>
  <si>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</si>
  <si>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</si>
  <si>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</si>
  <si>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</si>
  <si>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</si>
  <si>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</si>
  <si>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</si>
  <si>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</si>
  <si>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</si>
  <si>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</si>
  <si>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</si>
  <si>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</si>
  <si>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</si>
  <si>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</si>
  <si>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</si>
  <si>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</si>
  <si>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</si>
  <si>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</si>
  <si>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</si>
  <si>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</si>
  <si>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</si>
  <si>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</si>
  <si>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</si>
  <si>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</si>
  <si>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</si>
  <si>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</si>
  <si>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</si>
  <si>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</si>
  <si>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</si>
  <si>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</si>
  <si>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</si>
  <si>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</si>
  <si>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</si>
  <si>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</si>
  <si>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</si>
  <si>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</si>
  <si>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</si>
  <si>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</si>
  <si>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</si>
  <si>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</si>
  <si>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</si>
  <si>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</si>
  <si>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</si>
  <si>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</si>
  <si>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</si>
  <si>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</si>
  <si>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</si>
  <si>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</si>
  <si>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</si>
  <si>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</si>
  <si>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</si>
  <si>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</si>
  <si>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</si>
  <si>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</si>
  <si>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</si>
  <si>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</si>
  <si>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</si>
  <si>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</si>
  <si>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</si>
  <si>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</si>
  <si>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</si>
  <si>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</si>
  <si>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</si>
  <si>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</si>
  <si>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</si>
  <si>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</si>
  <si>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</si>
  <si>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</si>
  <si>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</si>
  <si>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</si>
  <si>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</si>
  <si>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</si>
  <si>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</si>
  <si>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</si>
  <si>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</si>
  <si>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</si>
  <si>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</si>
  <si>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</si>
  <si>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</si>
  <si>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</si>
  <si>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</si>
  <si>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</si>
  <si>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</si>
  <si>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</si>
  <si>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</si>
  <si>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</si>
  <si>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</si>
  <si>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</si>
  <si>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</si>
  <si>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</si>
  <si>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</si>
  <si>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</si>
  <si>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</si>
  <si>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</si>
  <si>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</si>
  <si>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</si>
  <si>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</si>
  <si>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</si>
  <si>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</si>
  <si>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</si>
  <si>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</si>
  <si>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</si>
  <si>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</si>
  <si>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</si>
  <si>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</si>
  <si>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</si>
  <si>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</si>
  <si>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</si>
  <si>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</si>
  <si>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</si>
  <si>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</si>
  <si>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</si>
  <si>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</si>
  <si>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</si>
  <si>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</si>
  <si>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</si>
  <si>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</si>
  <si>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</si>
  <si>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</si>
  <si>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</si>
  <si>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</si>
  <si>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</si>
  <si>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</si>
  <si>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</si>
  <si>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</si>
  <si>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</si>
  <si>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</si>
  <si>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</si>
  <si>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</si>
  <si>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</si>
  <si>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</si>
  <si>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</si>
  <si>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</si>
  <si>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</si>
  <si>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</si>
  <si>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</si>
  <si>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</si>
  <si>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</si>
  <si>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</si>
  <si>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</si>
  <si>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</si>
  <si>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</si>
  <si>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</si>
  <si>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</si>
  <si>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</si>
  <si>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</si>
  <si>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</si>
  <si>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</si>
  <si>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</si>
  <si>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</si>
  <si>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</si>
  <si>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</si>
  <si>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</si>
  <si>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</si>
  <si>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</si>
  <si>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</si>
  <si>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</si>
  <si>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</si>
  <si>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</si>
  <si>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</si>
  <si>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</si>
  <si>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</si>
  <si>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</si>
  <si>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</si>
  <si>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</si>
  <si>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</si>
  <si>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</si>
  <si>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</si>
  <si>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</si>
  <si>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</si>
  <si>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</si>
  <si>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</si>
  <si>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</si>
  <si>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</si>
  <si>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</si>
  <si>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</si>
  <si>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</si>
  <si>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</si>
  <si>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</si>
  <si>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</si>
  <si>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</si>
  <si>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</si>
  <si>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</si>
  <si>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</si>
  <si>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</si>
  <si>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</si>
  <si>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</si>
  <si>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</si>
  <si>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</si>
  <si>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</si>
  <si>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</si>
  <si>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</si>
  <si>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</si>
  <si>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</si>
  <si>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</si>
  <si>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</si>
  <si>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</si>
  <si>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</si>
  <si>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</si>
  <si>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</si>
  <si>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</si>
  <si>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</si>
  <si>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</si>
  <si>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</si>
  <si>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</si>
  <si>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</si>
  <si>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</si>
  <si>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</si>
  <si>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</si>
  <si>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</si>
  <si>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</si>
  <si>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</si>
  <si>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</si>
  <si>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</si>
  <si>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</si>
  <si>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</si>
  <si>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</si>
  <si>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</si>
  <si>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</si>
  <si>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</si>
  <si>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</si>
  <si>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</si>
  <si>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</si>
  <si>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</si>
  <si>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</si>
  <si>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</si>
  <si>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</si>
  <si>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</si>
  <si>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</si>
  <si>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</si>
  <si>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</si>
  <si>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</si>
  <si>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</si>
  <si>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</si>
  <si>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</si>
  <si>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</si>
  <si>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</si>
  <si>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</si>
  <si>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</si>
  <si>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</si>
  <si>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</si>
  <si>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</si>
  <si>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</si>
  <si>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</si>
  <si>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</si>
  <si>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</si>
  <si>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</si>
  <si>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</si>
  <si>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</si>
  <si>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</si>
  <si>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</si>
  <si>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</si>
  <si>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</si>
  <si>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</si>
  <si>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</si>
  <si>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</si>
  <si>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</si>
  <si>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</si>
  <si>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</si>
  <si>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</si>
  <si>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</si>
  <si>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</si>
  <si>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</si>
  <si>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</si>
  <si>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</si>
  <si>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</si>
  <si>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</si>
  <si>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</si>
  <si>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</si>
  <si>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</si>
  <si>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</si>
  <si>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</si>
  <si>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</si>
  <si>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</si>
  <si>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</si>
  <si>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</si>
  <si>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</si>
  <si>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</si>
  <si>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</si>
  <si>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</si>
  <si>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</si>
  <si>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</si>
  <si>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</si>
  <si>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</si>
  <si>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</si>
  <si>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</si>
  <si>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</si>
  <si>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</si>
  <si>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</si>
  <si>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</si>
  <si>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</si>
  <si>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</si>
  <si>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</si>
  <si>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</si>
  <si>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</si>
  <si>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</si>
  <si>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</si>
  <si>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</si>
  <si>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</si>
  <si>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</si>
  <si>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</si>
  <si>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</si>
  <si>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</si>
  <si>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</si>
  <si>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</si>
  <si>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</si>
  <si>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</si>
  <si>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</si>
  <si>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</si>
  <si>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</si>
  <si>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</si>
  <si>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</si>
  <si>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</si>
  <si>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</si>
  <si>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</si>
  <si>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</si>
  <si>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</si>
  <si>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</si>
  <si>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</si>
  <si>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</si>
  <si>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</si>
  <si>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</si>
  <si>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</si>
  <si>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</si>
  <si>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</si>
  <si>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</si>
  <si>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</si>
  <si>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</si>
  <si>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</si>
  <si>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</si>
  <si>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</si>
  <si>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</si>
  <si>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</si>
  <si>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</si>
  <si>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</si>
  <si>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</si>
  <si>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</si>
  <si>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</si>
  <si>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</si>
  <si>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</si>
  <si>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</si>
  <si>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</si>
  <si>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</si>
  <si>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</si>
  <si>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</si>
  <si>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</si>
  <si>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</si>
  <si>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</si>
  <si>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</si>
  <si>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</si>
  <si>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</si>
  <si>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</si>
  <si>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</si>
  <si>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</si>
  <si>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</si>
  <si>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</si>
  <si>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</si>
  <si>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</si>
  <si>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</si>
  <si>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</si>
  <si>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</si>
  <si>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</si>
  <si>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</si>
  <si>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</si>
  <si>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</si>
  <si>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</si>
  <si>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</si>
  <si>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</si>
  <si>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</si>
  <si>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</si>
  <si>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</si>
  <si>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</si>
  <si>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</si>
  <si>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</si>
  <si>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</si>
  <si>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</si>
  <si>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</si>
  <si>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</si>
  <si>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</si>
  <si>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</si>
  <si>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</si>
  <si>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</si>
  <si>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</si>
  <si>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</si>
  <si>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</si>
  <si>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</si>
  <si>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</si>
  <si>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</si>
  <si>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</si>
  <si>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</si>
  <si>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</si>
  <si>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</si>
  <si>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</si>
  <si>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</si>
  <si>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</si>
  <si>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</si>
  <si>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</si>
  <si>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</si>
  <si>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</si>
  <si>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</si>
  <si>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</si>
  <si>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</si>
  <si>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</si>
  <si>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</si>
  <si>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</si>
  <si>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</si>
  <si>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</si>
  <si>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</si>
  <si>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</si>
  <si>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</si>
  <si>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</si>
  <si>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</si>
  <si>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</si>
  <si>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</si>
  <si>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</si>
  <si>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</si>
  <si>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</si>
  <si>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</si>
  <si>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</si>
  <si>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</si>
  <si>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</si>
  <si>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</si>
  <si>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</si>
  <si>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</si>
  <si>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</si>
  <si>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</si>
  <si>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</si>
  <si>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</si>
  <si>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</si>
  <si>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</si>
  <si>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</si>
  <si>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</si>
  <si>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</si>
  <si>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</si>
  <si>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</si>
  <si>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</si>
  <si>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</si>
  <si>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</si>
  <si>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</si>
  <si>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</si>
  <si>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</si>
  <si>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</si>
  <si>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</si>
  <si>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</si>
  <si>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</si>
  <si>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</si>
  <si>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</si>
  <si>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</si>
  <si>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</si>
  <si>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</si>
  <si>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</si>
  <si>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</si>
  <si>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</si>
  <si>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</si>
  <si>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</si>
  <si>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</si>
  <si>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</si>
  <si>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</si>
  <si>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</si>
  <si>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</si>
  <si>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</si>
  <si>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</si>
  <si>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</si>
  <si>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</si>
  <si>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</si>
  <si>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</si>
  <si>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</si>
  <si>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</si>
  <si>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</si>
  <si>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</si>
  <si>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</si>
  <si>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</si>
  <si>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</si>
  <si>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</si>
  <si>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</si>
  <si>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</si>
  <si>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</si>
  <si>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</si>
  <si>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</si>
  <si>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</si>
  <si>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</si>
  <si>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</si>
  <si>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</si>
  <si>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</si>
  <si>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</si>
  <si>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</si>
  <si>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</si>
  <si>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</si>
  <si>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</si>
  <si>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</si>
  <si>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</si>
  <si>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</si>
  <si>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</si>
  <si>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</si>
  <si>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</si>
  <si>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</si>
  <si>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</si>
  <si>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</si>
  <si>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</si>
  <si>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</si>
  <si>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</si>
  <si>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</si>
  <si>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</si>
  <si>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</si>
  <si>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</si>
  <si>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</si>
  <si>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</si>
  <si>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</si>
  <si>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</si>
  <si>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</si>
  <si>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</si>
  <si>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</si>
  <si>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</si>
  <si>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</si>
  <si>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</si>
  <si>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</si>
  <si>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</si>
  <si>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</si>
  <si>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</si>
  <si>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</si>
  <si>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</si>
  <si>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</si>
  <si>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</si>
  <si>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</si>
  <si>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</si>
  <si>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</si>
  <si>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</si>
  <si>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</si>
  <si>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</si>
  <si>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</si>
  <si>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</si>
  <si>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</si>
  <si>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</si>
  <si>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</si>
  <si>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</si>
  <si>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</si>
  <si>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</si>
  <si>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</si>
  <si>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</si>
  <si>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</si>
  <si>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</si>
  <si>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</si>
  <si>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</si>
  <si>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</si>
  <si>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</si>
  <si>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</si>
  <si>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</si>
  <si>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</si>
  <si>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</si>
  <si>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</si>
  <si>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</si>
  <si>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</si>
  <si>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</si>
  <si>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</si>
  <si>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</si>
  <si>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</si>
  <si>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</si>
  <si>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</si>
  <si>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</si>
  <si>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</si>
  <si>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</si>
  <si>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</si>
  <si>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</si>
  <si>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</si>
  <si>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</si>
  <si>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</si>
  <si>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</si>
  <si>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</si>
  <si>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</si>
  <si>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</si>
  <si>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</si>
  <si>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</si>
  <si>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</si>
  <si>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</si>
  <si>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</si>
  <si>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</si>
  <si>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</si>
  <si>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</si>
  <si>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</si>
  <si>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</si>
  <si>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</si>
  <si>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</si>
  <si>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</si>
  <si>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</si>
  <si>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</si>
  <si>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</si>
  <si>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</si>
  <si>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</si>
  <si>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</si>
  <si>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</si>
  <si>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</si>
  <si>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</si>
  <si>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</si>
  <si>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</si>
  <si>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</si>
  <si>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</si>
  <si>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</si>
  <si>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</si>
  <si>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</si>
  <si>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</si>
  <si>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</si>
  <si>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</si>
  <si>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</si>
  <si>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</si>
  <si>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</si>
  <si>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</si>
  <si>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</si>
  <si>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</si>
  <si>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</si>
  <si>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</si>
  <si>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</si>
  <si>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</si>
  <si>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</si>
  <si>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</si>
  <si>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</si>
  <si>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</si>
  <si>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</si>
  <si>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</si>
  <si>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</si>
  <si>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</si>
  <si>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</si>
  <si>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</si>
  <si>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</si>
  <si>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</si>
  <si>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</si>
  <si>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</si>
  <si>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</si>
  <si>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</si>
  <si>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</si>
  <si>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</si>
  <si>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</si>
  <si>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</si>
  <si>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</si>
  <si>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</si>
  <si>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</si>
  <si>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</si>
  <si>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</si>
  <si>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</si>
  <si>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</si>
  <si>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</si>
  <si>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</si>
  <si>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</si>
  <si>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</si>
  <si>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</si>
  <si>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</si>
  <si>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</si>
  <si>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</si>
  <si>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</si>
  <si>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</si>
  <si>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</si>
  <si>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</si>
  <si>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</si>
  <si>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</si>
  <si>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</si>
  <si>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</si>
  <si>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</si>
  <si>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</si>
  <si>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</si>
  <si>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</si>
  <si>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</si>
  <si>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</si>
  <si>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</si>
  <si>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</si>
  <si>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</si>
  <si>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</si>
  <si>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</si>
  <si>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</si>
  <si>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</si>
  <si>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</si>
  <si>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</si>
  <si>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</si>
  <si>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</si>
  <si>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</si>
  <si>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</si>
  <si>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</si>
  <si>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</si>
  <si>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</si>
  <si>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</si>
  <si>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</si>
  <si>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</si>
  <si>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</si>
  <si>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</si>
  <si>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</si>
  <si>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</si>
  <si>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</si>
  <si>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</si>
  <si>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</si>
  <si>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</si>
  <si>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</si>
  <si>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</si>
  <si>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</si>
  <si>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</si>
  <si>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</si>
  <si>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</si>
  <si>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</si>
  <si>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</si>
  <si>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</si>
  <si>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</si>
  <si>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</si>
  <si>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</si>
  <si>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</si>
  <si>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</si>
  <si>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</si>
  <si>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</si>
  <si>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</si>
  <si>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</si>
  <si>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</si>
  <si>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</si>
  <si>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</si>
  <si>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</si>
  <si>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</si>
  <si>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</si>
  <si>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</si>
  <si>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</si>
  <si>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</si>
  <si>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</si>
  <si>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</si>
  <si>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</si>
  <si>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</si>
  <si>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</si>
  <si>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</si>
  <si>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</si>
  <si>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</si>
  <si>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</si>
  <si>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</si>
  <si>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</si>
  <si>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</si>
  <si>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</si>
  <si>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</si>
  <si>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</si>
  <si>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</si>
  <si>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</si>
  <si>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</si>
  <si>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</si>
  <si>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</si>
  <si>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</si>
  <si>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</si>
  <si>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</si>
  <si>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</si>
  <si>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</si>
  <si>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</si>
  <si>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</si>
  <si>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</si>
  <si>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</si>
  <si>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</si>
  <si>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</si>
  <si>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</si>
  <si>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</si>
  <si>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</si>
  <si>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</si>
  <si>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</si>
  <si>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</si>
  <si>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</si>
  <si>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</si>
  <si>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</si>
  <si>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</si>
  <si>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</si>
  <si>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</si>
  <si>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</si>
  <si>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</si>
  <si>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</si>
  <si>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</si>
  <si>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</si>
  <si>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</si>
  <si>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</si>
  <si>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</si>
  <si>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</si>
  <si>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</si>
  <si>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</si>
  <si>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</si>
  <si>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</si>
  <si>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</si>
  <si>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</si>
  <si>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</si>
  <si>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</si>
  <si>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</si>
  <si>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</si>
  <si>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</si>
  <si>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</si>
  <si>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</si>
  <si>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</si>
  <si>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</si>
  <si>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</si>
  <si>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</si>
  <si>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</si>
  <si>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</si>
  <si>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</si>
  <si>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</si>
  <si>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</si>
  <si>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</si>
  <si>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</si>
  <si>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</si>
  <si>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</si>
  <si>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</si>
  <si>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</si>
  <si>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</si>
  <si>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</si>
  <si>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</si>
  <si>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</si>
  <si>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</si>
  <si>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</si>
  <si>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</si>
  <si>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</si>
  <si>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</si>
  <si>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</si>
  <si>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</si>
  <si>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</si>
  <si>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</si>
  <si>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</si>
  <si>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</si>
  <si>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</si>
  <si>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</si>
  <si>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</si>
  <si>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</si>
  <si>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</si>
  <si>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</si>
  <si>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</si>
  <si>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</si>
  <si>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</si>
  <si>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</si>
  <si>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</si>
  <si>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</si>
  <si>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</si>
  <si>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</si>
  <si>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</si>
  <si>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</si>
  <si>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</si>
  <si>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</si>
  <si>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</si>
  <si>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</si>
  <si>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</si>
  <si>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</si>
  <si>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</si>
  <si>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</si>
  <si>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</si>
  <si>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</si>
  <si>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</si>
  <si>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</si>
  <si>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</si>
  <si>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</si>
  <si>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</si>
  <si>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</si>
  <si>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</si>
  <si>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</si>
  <si>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</si>
  <si>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</si>
  <si>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</si>
  <si>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</si>
  <si>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</si>
  <si>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</si>
  <si>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</si>
  <si>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</si>
  <si>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</si>
  <si>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</si>
  <si>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</si>
  <si>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</si>
  <si>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</si>
  <si>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</si>
  <si>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</si>
  <si>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</si>
  <si>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</si>
  <si>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</si>
  <si>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</si>
  <si>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</si>
  <si>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</si>
  <si>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</si>
  <si>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</si>
  <si>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</si>
  <si>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</si>
  <si>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</si>
  <si>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</si>
  <si>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</si>
  <si>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</si>
  <si>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</si>
  <si>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</si>
  <si>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</si>
  <si>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</si>
  <si>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</si>
  <si>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</si>
  <si>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</si>
  <si>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</si>
  <si>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</si>
  <si>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</si>
  <si>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</si>
  <si>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</si>
  <si>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</si>
  <si>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</si>
  <si>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</si>
  <si>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</si>
  <si>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</si>
  <si>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</si>
  <si>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</si>
  <si>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</si>
  <si>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</si>
  <si>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</si>
  <si>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</si>
  <si>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</si>
  <si>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</si>
  <si>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</si>
  <si>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</si>
  <si>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</si>
  <si>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</si>
  <si>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</si>
  <si>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</si>
  <si>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</si>
  <si>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</si>
  <si>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</si>
  <si>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</si>
  <si>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</si>
  <si>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</si>
  <si>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</si>
  <si>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</si>
  <si>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</si>
  <si>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</si>
  <si>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</si>
  <si>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</si>
  <si>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</si>
  <si>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</si>
  <si>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</si>
  <si>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</si>
  <si>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</si>
  <si>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</si>
  <si>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</si>
  <si>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</si>
  <si>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</si>
  <si>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</si>
  <si>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</si>
  <si>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</si>
  <si>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</si>
  <si>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</si>
  <si>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</si>
  <si>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</si>
  <si>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</si>
  <si>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</si>
  <si>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</si>
  <si>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</si>
  <si>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</si>
  <si>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</si>
  <si>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</si>
  <si>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</si>
  <si>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</si>
  <si>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</si>
  <si>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</si>
  <si>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</si>
  <si>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</si>
  <si>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</si>
  <si>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</si>
  <si>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</si>
  <si>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</si>
  <si>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</si>
  <si>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</si>
  <si>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</si>
  <si>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</si>
  <si>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</si>
  <si>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</si>
  <si>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</si>
  <si>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</si>
  <si>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</si>
  <si>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</si>
  <si>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</si>
  <si>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</si>
  <si>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</si>
  <si>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</si>
  <si>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</si>
  <si>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</si>
  <si>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</si>
  <si>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</si>
  <si>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</si>
  <si>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</si>
  <si>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</si>
  <si>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</si>
  <si>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</si>
  <si>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</si>
  <si>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</si>
  <si>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</si>
  <si>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</si>
  <si>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</si>
  <si>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</si>
  <si>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</si>
  <si>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</si>
  <si>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</si>
  <si>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</si>
  <si>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</si>
  <si>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</si>
  <si>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</si>
  <si>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</si>
  <si>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</si>
  <si>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</si>
  <si>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</si>
  <si>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</si>
  <si>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</si>
  <si>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</si>
  <si>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</si>
  <si>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</si>
  <si>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</si>
  <si>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</si>
  <si>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</si>
  <si>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</si>
  <si>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</si>
  <si>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</si>
  <si>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</si>
  <si>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</si>
  <si>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</si>
  <si>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</si>
  <si>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</si>
  <si>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</si>
  <si>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</si>
  <si>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</si>
  <si>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</si>
  <si>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</si>
  <si>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</si>
  <si>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</si>
  <si>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</si>
  <si>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</si>
  <si>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</si>
  <si>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</si>
  <si>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</si>
  <si>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</si>
  <si>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</si>
  <si>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</si>
  <si>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</si>
  <si>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</si>
  <si>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</si>
  <si>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</si>
  <si>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</si>
  <si>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</si>
  <si>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</si>
  <si>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</si>
  <si>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</si>
  <si>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</si>
  <si>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</si>
  <si>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</si>
  <si>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</si>
  <si>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</si>
  <si>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</si>
  <si>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</si>
  <si>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</si>
  <si>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</si>
  <si>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</si>
  <si>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</si>
  <si>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</si>
  <si>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</si>
  <si>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</si>
  <si>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</si>
  <si>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</si>
  <si>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</si>
  <si>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</si>
  <si>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</si>
  <si>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</si>
  <si>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</si>
  <si>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</si>
  <si>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</si>
  <si>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</si>
  <si>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</si>
  <si>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</si>
  <si>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</si>
  <si>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</si>
  <si>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</si>
  <si>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</si>
  <si>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</si>
  <si>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</si>
  <si>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</si>
  <si>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</si>
  <si>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</si>
  <si>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</si>
  <si>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</si>
  <si>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</si>
  <si>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</si>
  <si>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</si>
  <si>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</si>
  <si>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</si>
  <si>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</si>
  <si>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</si>
  <si>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</si>
  <si>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</si>
  <si>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</si>
  <si>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</si>
  <si>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</si>
  <si>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</si>
  <si>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</si>
  <si>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</si>
  <si>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</si>
  <si>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</si>
  <si>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</si>
  <si>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</si>
  <si>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</si>
  <si>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</si>
  <si>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</si>
  <si>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</si>
  <si>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</si>
  <si>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</si>
  <si>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</si>
  <si>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</si>
  <si>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</si>
  <si>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</si>
  <si>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</si>
  <si>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</si>
  <si>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</si>
  <si>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</si>
  <si>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</si>
  <si>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</si>
  <si>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</si>
  <si>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</si>
  <si>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</si>
  <si>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</si>
  <si>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</si>
  <si>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</si>
  <si>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</si>
  <si>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</si>
  <si>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</si>
  <si>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</si>
  <si>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</si>
  <si>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</si>
  <si>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</si>
  <si>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</si>
  <si>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</si>
  <si>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</si>
  <si>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</si>
  <si>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</si>
  <si>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</si>
  <si>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</si>
  <si>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</si>
  <si>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</si>
  <si>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</si>
  <si>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</si>
  <si>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</si>
  <si>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</si>
  <si>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</si>
  <si>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</si>
  <si>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</si>
  <si>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</si>
  <si>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</si>
  <si>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</si>
  <si>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</si>
  <si>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</si>
  <si>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</si>
  <si>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</si>
  <si>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</si>
  <si>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</si>
  <si>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</si>
  <si>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</si>
  <si>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</si>
  <si>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</si>
  <si>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</si>
  <si>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</si>
  <si>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</si>
  <si>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</si>
  <si>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</si>
  <si>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</si>
  <si>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</si>
  <si>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</si>
  <si>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</si>
  <si>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</si>
  <si>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</si>
  <si>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</si>
  <si>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</si>
  <si>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</si>
  <si>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</si>
  <si>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</si>
  <si>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</si>
  <si>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</si>
  <si>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</si>
  <si>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</si>
  <si>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</si>
  <si>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</si>
  <si>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</si>
  <si>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</si>
  <si>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</si>
  <si>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</si>
  <si>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</si>
  <si>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</si>
  <si>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</si>
  <si>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</si>
  <si>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</si>
  <si>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</si>
  <si>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</si>
  <si>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</si>
  <si>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</si>
  <si>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</si>
  <si>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</si>
  <si>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</si>
  <si>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</si>
  <si>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</si>
  <si>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</si>
  <si>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</si>
  <si>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</si>
  <si>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</si>
  <si>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</si>
  <si>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</si>
  <si>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</si>
  <si>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</si>
  <si>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</si>
  <si>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</si>
  <si>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</si>
  <si>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</si>
  <si>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</si>
  <si>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</si>
  <si>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</si>
  <si>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</si>
  <si>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</si>
  <si>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</si>
  <si>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</si>
  <si>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</si>
  <si>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</si>
  <si>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</si>
  <si>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</si>
  <si>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</si>
  <si>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</si>
  <si>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</si>
  <si>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</si>
  <si>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</si>
  <si>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</si>
  <si>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</si>
  <si>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</si>
  <si>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</si>
  <si>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</si>
  <si>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</si>
  <si>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</si>
  <si>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</si>
  <si>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</si>
  <si>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</si>
  <si>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</si>
  <si>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</si>
  <si>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</si>
  <si>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</si>
  <si>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</si>
  <si>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</si>
  <si>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</si>
  <si>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</si>
  <si>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</si>
  <si>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</si>
  <si>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</si>
  <si>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</si>
  <si>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</si>
  <si>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</si>
  <si>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</si>
  <si>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</si>
  <si>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</si>
  <si>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</si>
  <si>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</si>
  <si>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</si>
  <si>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</si>
  <si>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</si>
  <si>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</si>
  <si>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</si>
  <si>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</si>
  <si>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</si>
  <si>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</si>
  <si>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</si>
  <si>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</si>
  <si>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</si>
  <si>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</si>
  <si>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</si>
  <si>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</si>
  <si>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</si>
  <si>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</si>
  <si>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</si>
  <si>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</si>
  <si>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</si>
  <si>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</si>
  <si>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</si>
  <si>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</si>
  <si>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</si>
  <si>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</si>
  <si>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</si>
  <si>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</si>
  <si>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</si>
  <si>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</si>
  <si>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</si>
  <si>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</si>
  <si>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</si>
  <si>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</si>
  <si>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</si>
  <si>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</si>
  <si>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</si>
  <si>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</si>
  <si>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</si>
  <si>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</si>
  <si>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</si>
  <si>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</si>
  <si>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</si>
  <si>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</si>
  <si>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</si>
  <si>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</si>
  <si>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</si>
  <si>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</si>
  <si>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</si>
  <si>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</si>
  <si>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</si>
  <si>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</si>
  <si>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</si>
  <si>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</si>
  <si>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</si>
  <si>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</si>
  <si>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</si>
  <si>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</si>
  <si>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</si>
  <si>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</si>
  <si>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</si>
  <si>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</si>
  <si>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</si>
  <si>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</si>
  <si>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</si>
  <si>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</si>
  <si>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</si>
  <si>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</si>
  <si>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</si>
  <si>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</si>
  <si>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</si>
  <si>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</si>
  <si>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</si>
  <si>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</si>
  <si>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</si>
  <si>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</si>
  <si>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</si>
  <si>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</si>
  <si>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</si>
  <si>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</si>
  <si>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</si>
  <si>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</si>
  <si>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</si>
  <si>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</si>
  <si>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</si>
  <si>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</si>
  <si>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</si>
  <si>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</si>
  <si>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</si>
  <si>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</si>
  <si>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</si>
  <si>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</si>
  <si>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</si>
  <si>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</si>
  <si>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</si>
  <si>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</si>
  <si>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</si>
  <si>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</si>
  <si>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</si>
  <si>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</si>
  <si>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</si>
  <si>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</si>
  <si>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</si>
  <si>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</si>
  <si>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</si>
  <si>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</si>
  <si>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</si>
  <si>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</si>
  <si>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</si>
  <si>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</si>
  <si>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</si>
  <si>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</si>
  <si>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</si>
  <si>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</si>
  <si>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</si>
  <si>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</si>
  <si>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</si>
  <si>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</si>
  <si>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</si>
  <si>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</si>
  <si>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</si>
  <si>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</si>
  <si>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</si>
  <si>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</si>
  <si>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</si>
  <si>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</si>
  <si>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</si>
  <si>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</si>
  <si>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</si>
  <si>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</si>
  <si>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</si>
  <si>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</si>
  <si>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</si>
  <si>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</si>
  <si>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</si>
  <si>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</si>
  <si>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</si>
  <si>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</si>
  <si>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</si>
  <si>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</si>
  <si>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</si>
  <si>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</si>
  <si>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</si>
  <si>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</si>
  <si>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</si>
  <si>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</si>
  <si>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</si>
  <si>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</si>
  <si>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</si>
  <si>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</si>
  <si>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</si>
  <si>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</si>
  <si>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</si>
  <si>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</si>
  <si>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</si>
  <si>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</si>
  <si>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</si>
  <si>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</si>
  <si>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</si>
  <si>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</si>
  <si>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</si>
  <si>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</si>
  <si>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</si>
  <si>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</si>
  <si>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</si>
  <si>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</si>
  <si>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</si>
  <si>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</si>
  <si>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</si>
  <si>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</si>
  <si>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</si>
  <si>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</si>
  <si>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</si>
  <si>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</si>
  <si>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</si>
  <si>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</si>
  <si>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</si>
  <si>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</si>
  <si>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</si>
  <si>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</si>
  <si>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</si>
  <si>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</si>
  <si>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</si>
  <si>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</si>
  <si>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</si>
  <si>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</si>
  <si>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</si>
  <si>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</si>
  <si>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</si>
  <si>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</si>
  <si>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</si>
  <si>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</si>
  <si>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</si>
  <si>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</si>
  <si>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</si>
  <si>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</si>
  <si>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</si>
  <si>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</si>
  <si>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</si>
  <si>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</si>
  <si>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</si>
  <si>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</si>
  <si>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</si>
  <si>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</si>
  <si>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</si>
  <si>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</si>
  <si>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</si>
  <si>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</si>
  <si>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</si>
  <si>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</si>
  <si>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</si>
  <si>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</si>
  <si>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</si>
  <si>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</si>
  <si>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</si>
  <si>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</si>
  <si>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</si>
  <si>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</si>
  <si>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</si>
  <si>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</si>
  <si>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</si>
  <si>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</si>
  <si>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</si>
  <si>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</si>
  <si>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</si>
  <si>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</si>
  <si>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</si>
  <si>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</si>
  <si>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</si>
  <si>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</si>
  <si>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</si>
  <si>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</si>
  <si>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</si>
  <si>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</si>
  <si>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</si>
  <si>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</si>
  <si>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</si>
  <si>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</si>
  <si>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</si>
  <si>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</si>
  <si>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</si>
  <si>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</si>
  <si>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</si>
  <si>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</si>
  <si>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</si>
  <si>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</si>
  <si>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</si>
  <si>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</si>
  <si>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</si>
  <si>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</si>
  <si>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</si>
  <si>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</si>
  <si>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</si>
  <si>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</si>
  <si>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</si>
  <si>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</si>
  <si>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</si>
  <si>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</si>
  <si>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</si>
  <si>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</si>
  <si>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</si>
  <si>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</si>
  <si>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</si>
  <si>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</si>
  <si>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</si>
  <si>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</si>
  <si>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</si>
  <si>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</si>
  <si>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</si>
  <si>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</si>
  <si>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</si>
  <si>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</si>
  <si>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</si>
  <si>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</si>
  <si>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</si>
  <si>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</si>
  <si>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</si>
  <si>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</si>
  <si>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</si>
  <si>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</si>
  <si>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</si>
  <si>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</si>
  <si>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</si>
  <si>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</si>
  <si>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</si>
  <si>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</si>
  <si>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</si>
  <si>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</si>
  <si>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</si>
  <si>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</si>
  <si>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</si>
  <si>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</si>
  <si>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</si>
  <si>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</si>
  <si>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</si>
  <si>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</si>
  <si>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</si>
  <si>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</si>
  <si>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</si>
  <si>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</si>
  <si>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</si>
  <si>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</si>
  <si>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</si>
  <si>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</si>
  <si>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</si>
  <si>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</si>
  <si>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</si>
  <si>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</si>
  <si>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</si>
  <si>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</si>
  <si>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</si>
  <si>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</si>
  <si>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</si>
  <si>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</si>
  <si>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</si>
  <si>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</si>
  <si>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</si>
  <si>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</si>
  <si>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</si>
  <si>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</si>
  <si>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</si>
  <si>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</si>
  <si>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</si>
  <si>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</si>
  <si>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</si>
  <si>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</si>
  <si>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</si>
  <si>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</si>
  <si>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</si>
  <si>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</si>
  <si>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</si>
  <si>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</si>
  <si>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</si>
  <si>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</si>
  <si>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</si>
  <si>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</si>
  <si>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</si>
  <si>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</si>
  <si>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</si>
  <si>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</si>
  <si>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</si>
  <si>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</si>
  <si>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</si>
  <si>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</si>
  <si>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</si>
  <si>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</si>
  <si>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</si>
  <si>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</si>
  <si>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</si>
  <si>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</si>
  <si>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</si>
  <si>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</si>
  <si>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</si>
  <si>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</si>
  <si>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</si>
  <si>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</si>
  <si>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</si>
  <si>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</si>
  <si>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</si>
  <si>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</si>
  <si>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</si>
  <si>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</si>
  <si>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</si>
  <si>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</si>
  <si>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</si>
  <si>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</si>
  <si>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</si>
  <si>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</si>
  <si>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</si>
  <si>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</si>
  <si>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</si>
  <si>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</si>
  <si>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</si>
  <si>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</si>
  <si>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</si>
  <si>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</si>
  <si>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</si>
  <si>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</si>
  <si>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</si>
  <si>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</si>
  <si>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</si>
  <si>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</si>
  <si>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</si>
  <si>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</si>
  <si>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</si>
  <si>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</si>
  <si>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</si>
  <si>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</si>
  <si>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</si>
  <si>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</si>
  <si>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</si>
  <si>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</si>
  <si>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</si>
  <si>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</si>
  <si>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</si>
  <si>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</si>
  <si>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</si>
  <si>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</si>
  <si>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</si>
  <si>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</si>
  <si>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</si>
  <si>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</si>
  <si>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</si>
  <si>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</si>
  <si>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</si>
  <si>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</si>
  <si>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</si>
  <si>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</si>
  <si>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</si>
  <si>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</si>
  <si>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</si>
  <si>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</si>
  <si>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</si>
  <si>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</si>
  <si>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</si>
  <si>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</si>
  <si>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</si>
  <si>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</si>
  <si>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</si>
  <si>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</si>
  <si>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</si>
  <si>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</si>
  <si>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</si>
  <si>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</si>
  <si>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</si>
  <si>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</si>
  <si>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</si>
  <si>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</si>
  <si>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</si>
  <si>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</si>
  <si>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</si>
  <si>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</si>
  <si>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</si>
  <si>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</si>
  <si>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</si>
  <si>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</si>
  <si>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</si>
  <si>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</si>
  <si>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</si>
  <si>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</si>
  <si>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</si>
  <si>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</si>
  <si>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</si>
  <si>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</si>
  <si>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</si>
  <si>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</si>
  <si>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</si>
  <si>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</si>
  <si>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</si>
  <si>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</si>
  <si>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</si>
  <si>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</si>
  <si>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</si>
  <si>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</si>
  <si>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</si>
  <si>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</si>
  <si>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</si>
  <si>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</si>
  <si>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</si>
  <si>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</si>
  <si>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</si>
  <si>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</si>
  <si>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</si>
  <si>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</si>
  <si>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</si>
  <si>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</si>
  <si>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</si>
  <si>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</si>
  <si>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</si>
  <si>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</si>
  <si>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</si>
  <si>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</si>
  <si>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</si>
  <si>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</si>
  <si>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</si>
  <si>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</si>
  <si>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</si>
  <si>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</si>
  <si>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</si>
  <si>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</si>
  <si>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</si>
  <si>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</si>
  <si>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</si>
  <si>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</si>
  <si>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</si>
  <si>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</si>
  <si>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</si>
  <si>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</si>
  <si>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</si>
  <si>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</si>
  <si>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</si>
  <si>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</si>
  <si>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</si>
  <si>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</si>
  <si>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</si>
  <si>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</si>
  <si>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</si>
  <si>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</si>
  <si>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</si>
  <si>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</si>
  <si>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</si>
  <si>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</si>
  <si>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</si>
  <si>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</si>
  <si>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</si>
  <si>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</si>
  <si>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</si>
  <si>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</si>
  <si>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</si>
  <si>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</si>
  <si>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</si>
  <si>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</si>
  <si>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</si>
  <si>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</si>
  <si>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</si>
  <si>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</si>
  <si>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</si>
  <si>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</si>
  <si>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</si>
  <si>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</si>
  <si>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</si>
  <si>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</si>
  <si>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</si>
  <si>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</si>
  <si>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</si>
  <si>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</si>
  <si>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</si>
  <si>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</si>
  <si>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</si>
  <si>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</si>
  <si>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</si>
  <si>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</si>
  <si>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</si>
  <si>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</si>
  <si>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</si>
  <si>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</si>
  <si>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</si>
  <si>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</si>
  <si>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</si>
  <si>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</si>
  <si>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</si>
  <si>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</si>
  <si>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</si>
  <si>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</si>
  <si>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</si>
  <si>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</si>
  <si>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</si>
  <si>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</si>
  <si>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</si>
  <si>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</si>
  <si>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</si>
  <si>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</si>
  <si>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</si>
  <si>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</si>
  <si>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</si>
  <si>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</si>
  <si>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</si>
  <si>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</si>
  <si>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</si>
  <si>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</si>
  <si>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</si>
  <si>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</si>
  <si>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</si>
  <si>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</si>
  <si>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</si>
  <si>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</si>
  <si>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</si>
  <si>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</si>
  <si>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</si>
  <si>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</si>
  <si>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</si>
  <si>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</si>
  <si>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</si>
  <si>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</si>
  <si>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</si>
  <si>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</si>
  <si>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</si>
  <si>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</si>
  <si>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</si>
  <si>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</si>
  <si>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</si>
  <si>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</si>
  <si>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</si>
  <si>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</si>
  <si>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</si>
  <si>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</si>
  <si>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</si>
  <si>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</si>
  <si>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</si>
  <si>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</si>
  <si>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</si>
  <si>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</si>
  <si>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</si>
  <si>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</si>
  <si>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</si>
  <si>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</si>
  <si>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</si>
  <si>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</si>
  <si>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</si>
  <si>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</si>
  <si>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</si>
  <si>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</si>
  <si>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</si>
  <si>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</si>
  <si>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</si>
  <si>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</si>
  <si>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</si>
  <si>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</si>
  <si>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</si>
  <si>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</si>
  <si>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</si>
  <si>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</si>
  <si>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</si>
  <si>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</si>
  <si>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</si>
  <si>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</si>
  <si>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</si>
  <si>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</si>
  <si>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</si>
  <si>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</si>
  <si>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</si>
  <si>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</si>
  <si>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</si>
  <si>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</si>
  <si>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</si>
  <si>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</si>
  <si>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</si>
  <si>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</si>
  <si>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</si>
  <si>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</si>
  <si>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</si>
  <si>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</si>
  <si>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</si>
  <si>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</si>
  <si>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</si>
  <si>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</si>
  <si>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</si>
  <si>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</si>
  <si>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</si>
  <si>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</si>
  <si>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</si>
  <si>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</si>
  <si>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</si>
  <si>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</si>
  <si>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</si>
  <si>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</si>
  <si>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</si>
  <si>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</si>
  <si>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</si>
  <si>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</si>
  <si>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</si>
  <si>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</si>
  <si>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</si>
  <si>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</si>
  <si>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</si>
  <si>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</si>
  <si>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</si>
  <si>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</si>
  <si>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</si>
  <si>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</si>
  <si>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</si>
  <si>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</si>
  <si>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</si>
  <si>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</si>
  <si>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</si>
  <si>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</si>
  <si>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</si>
  <si>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</si>
  <si>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</si>
  <si>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</si>
  <si>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</si>
  <si>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</si>
  <si>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</si>
  <si>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</si>
  <si>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</si>
  <si>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</si>
  <si>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</si>
  <si>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</si>
  <si>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</si>
  <si>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</si>
  <si>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</si>
  <si>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</si>
  <si>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</si>
  <si>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</si>
  <si>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</si>
  <si>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</si>
  <si>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</si>
  <si>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</si>
  <si>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</si>
  <si>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</si>
  <si>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</si>
  <si>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</si>
  <si>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</si>
  <si>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</si>
  <si>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</si>
  <si>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</si>
  <si>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</si>
  <si>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</si>
  <si>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</si>
  <si>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</si>
  <si>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</si>
  <si>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</si>
  <si>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</si>
  <si>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</si>
  <si>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</si>
  <si>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</si>
  <si>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</si>
  <si>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</si>
  <si>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</si>
  <si>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</si>
  <si>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</si>
  <si>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</si>
  <si>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</si>
  <si>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</si>
  <si>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</si>
  <si>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</si>
  <si>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</si>
  <si>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</si>
  <si>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</si>
  <si>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</si>
  <si>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</si>
  <si>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</si>
  <si>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</si>
  <si>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</si>
  <si>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</si>
  <si>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</si>
  <si>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</si>
  <si>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</si>
  <si>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</si>
  <si>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</si>
  <si>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</si>
  <si>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</si>
  <si>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</si>
  <si>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</si>
  <si>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</si>
  <si>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</si>
  <si>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</si>
  <si>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</si>
  <si>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</si>
  <si>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</si>
  <si>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</si>
  <si>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</si>
  <si>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</si>
  <si>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</si>
  <si>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</si>
  <si>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</si>
  <si>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</si>
  <si>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</si>
  <si>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</si>
  <si>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</si>
  <si>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</si>
  <si>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</si>
  <si>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</si>
  <si>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</si>
  <si>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</si>
  <si>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</si>
  <si>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</si>
  <si>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</si>
  <si>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</si>
  <si>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</si>
  <si>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</si>
  <si>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</si>
  <si>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</si>
  <si>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</si>
  <si>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</si>
  <si>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</si>
  <si>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</si>
  <si>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</si>
  <si>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</si>
  <si>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</si>
  <si>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</si>
  <si>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</si>
  <si>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</si>
  <si>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</si>
  <si>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</si>
  <si>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</si>
  <si>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</si>
  <si>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</si>
  <si>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</si>
  <si>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</si>
  <si>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</si>
  <si>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</si>
  <si>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</si>
  <si>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</si>
  <si>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</si>
  <si>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</si>
  <si>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</si>
  <si>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</si>
  <si>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</si>
  <si>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</si>
  <si>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</si>
  <si>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</si>
  <si>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</si>
  <si>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</si>
  <si>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</si>
  <si>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</si>
  <si>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</si>
  <si>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</si>
  <si>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</si>
  <si>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</si>
  <si>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</si>
  <si>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</si>
  <si>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</si>
  <si>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</si>
  <si>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</si>
  <si>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</si>
  <si>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</si>
  <si>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</si>
  <si>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</si>
  <si>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</si>
  <si>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</si>
  <si>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</si>
  <si>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</si>
  <si>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</si>
  <si>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</si>
  <si>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</si>
  <si>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</si>
  <si>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</si>
  <si>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</si>
  <si>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</si>
  <si>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</si>
  <si>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</si>
  <si>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</si>
  <si>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</si>
  <si>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</si>
  <si>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</si>
  <si>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</si>
  <si>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</si>
  <si>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</si>
  <si>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</si>
  <si>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</si>
  <si>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</si>
  <si>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</si>
  <si>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</si>
  <si>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</si>
  <si>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</si>
  <si>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</si>
  <si>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</si>
  <si>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</si>
  <si>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</si>
  <si>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</si>
  <si>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</si>
  <si>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</si>
  <si>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</si>
  <si>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</si>
  <si>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</si>
  <si>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</si>
  <si>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</si>
  <si>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</si>
  <si>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</si>
  <si>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</si>
  <si>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</si>
  <si>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</si>
  <si>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</si>
  <si>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</si>
  <si>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</si>
  <si>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</si>
  <si>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</si>
  <si>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</si>
  <si>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</si>
  <si>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</si>
  <si>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</si>
  <si>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</si>
  <si>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</si>
  <si>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</si>
  <si>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</si>
  <si>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</si>
  <si>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</si>
  <si>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</si>
  <si>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</si>
  <si>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</si>
  <si>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</si>
  <si>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</si>
  <si>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</si>
  <si>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</si>
  <si>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</si>
  <si>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</si>
  <si>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</si>
  <si>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</si>
  <si>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</si>
  <si>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</si>
  <si>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</si>
  <si>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</si>
  <si>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</si>
  <si>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</si>
  <si>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</si>
  <si>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</si>
  <si>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</si>
  <si>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</si>
  <si>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</si>
  <si>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</si>
  <si>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</si>
  <si>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</si>
  <si>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</si>
  <si>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</si>
  <si>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</si>
  <si>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</si>
  <si>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</si>
  <si>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</si>
  <si>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</si>
  <si>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</si>
  <si>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</si>
  <si>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</si>
  <si>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</si>
  <si>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</si>
  <si>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</si>
  <si>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</si>
  <si>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</si>
  <si>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</si>
  <si>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</si>
  <si>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</si>
  <si>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</si>
  <si>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</si>
  <si>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</si>
  <si>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</si>
  <si>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</si>
  <si>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</si>
  <si>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</si>
  <si>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</si>
  <si>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</si>
  <si>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</si>
  <si>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</si>
  <si>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</si>
  <si>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</si>
  <si>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</si>
  <si>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</si>
  <si>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</si>
  <si>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</si>
  <si>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</si>
  <si>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</si>
  <si>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</si>
  <si>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</si>
  <si>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</si>
  <si>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</si>
  <si>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</si>
  <si>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</si>
  <si>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</si>
  <si>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</si>
  <si>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</si>
  <si>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</si>
  <si>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</si>
  <si>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</si>
  <si>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</si>
  <si>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</si>
  <si>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</si>
  <si>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</si>
  <si>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</si>
  <si>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</si>
  <si>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</si>
  <si>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</si>
  <si>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</si>
  <si>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</si>
  <si>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</si>
  <si>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</si>
  <si>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</si>
  <si>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</si>
  <si>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</si>
  <si>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</si>
  <si>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</si>
  <si>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</si>
  <si>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</si>
  <si>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</si>
  <si>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</si>
  <si>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</si>
  <si>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</si>
  <si>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</si>
  <si>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</si>
  <si>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</si>
  <si>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</si>
  <si>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</si>
  <si>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</si>
  <si>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</si>
  <si>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</si>
  <si>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</si>
  <si>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</si>
  <si>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</si>
  <si>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</si>
  <si>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</si>
  <si>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</si>
  <si>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</si>
  <si>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</si>
  <si>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</si>
  <si>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</si>
  <si>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</si>
  <si>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</si>
  <si>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</si>
  <si>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</si>
  <si>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</si>
  <si>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</si>
  <si>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</si>
  <si>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</si>
  <si>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</si>
  <si>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</si>
  <si>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</si>
  <si>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</si>
  <si>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</si>
  <si>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</si>
  <si>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</si>
  <si>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</si>
  <si>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</si>
  <si>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</si>
  <si>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</si>
  <si>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</si>
  <si>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</si>
  <si>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</si>
  <si>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</si>
  <si>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</si>
  <si>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</si>
  <si>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</si>
  <si>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</si>
  <si>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</si>
  <si>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</si>
  <si>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</si>
  <si>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</si>
  <si>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</si>
  <si>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</si>
  <si>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</si>
  <si>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</si>
  <si>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</si>
  <si>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</si>
  <si>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</si>
  <si>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</si>
  <si>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</si>
  <si>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</si>
  <si>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</si>
  <si>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</si>
  <si>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</si>
  <si>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</si>
  <si>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</si>
  <si>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</si>
  <si>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</si>
  <si>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</si>
  <si>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</si>
  <si>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</si>
  <si>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</si>
  <si>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</si>
  <si>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</si>
  <si>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</si>
  <si>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</si>
  <si>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</si>
  <si>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</si>
  <si>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</si>
  <si>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</si>
  <si>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</si>
  <si>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</si>
  <si>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</si>
  <si>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</si>
  <si>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</si>
  <si>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</si>
  <si>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</si>
  <si>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</si>
  <si>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</si>
  <si>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</si>
  <si>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</si>
  <si>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</si>
  <si>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</si>
  <si>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</si>
  <si>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</si>
  <si>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</si>
  <si>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</si>
  <si>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</si>
  <si>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</si>
  <si>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</si>
  <si>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</si>
  <si>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</si>
  <si>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</si>
  <si>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</si>
  <si>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</si>
  <si>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</si>
  <si>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</si>
  <si>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</si>
  <si>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</si>
  <si>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</si>
  <si>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</si>
  <si>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</si>
  <si>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</si>
  <si>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</si>
  <si>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</si>
  <si>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</si>
  <si>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</si>
  <si>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</si>
  <si>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</si>
  <si>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</si>
  <si>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</si>
  <si>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</si>
  <si>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</si>
  <si>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</si>
  <si>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</si>
  <si>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</si>
  <si>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</si>
  <si>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</si>
  <si>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</si>
  <si>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</si>
  <si>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</si>
  <si>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</si>
  <si>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</si>
  <si>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</si>
  <si>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</si>
  <si>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</si>
  <si>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</si>
  <si>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</si>
  <si>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</si>
  <si>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</si>
  <si>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</si>
  <si>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</si>
  <si>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</si>
  <si>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</si>
  <si>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</si>
  <si>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</si>
  <si>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</si>
  <si>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</si>
  <si>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</si>
  <si>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</si>
  <si>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</si>
  <si>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</si>
  <si>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</si>
  <si>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</si>
  <si>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</si>
  <si>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</si>
  <si>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</si>
  <si>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</si>
  <si>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</si>
  <si>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</si>
  <si>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</si>
  <si>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</si>
  <si>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</si>
  <si>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</si>
  <si>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</si>
  <si>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</si>
  <si>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</si>
  <si>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</si>
  <si>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</si>
  <si>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</si>
  <si>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</si>
  <si>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</si>
  <si>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</si>
  <si>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</si>
  <si>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</si>
  <si>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</si>
  <si>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</si>
  <si>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</si>
  <si>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</si>
  <si>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</si>
  <si>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</si>
  <si>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</si>
  <si>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</si>
  <si>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</si>
  <si>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</si>
  <si>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</si>
  <si>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</si>
  <si>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</si>
  <si>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</si>
  <si>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</si>
  <si>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</si>
  <si>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</si>
  <si>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</si>
  <si>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</si>
  <si>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</si>
  <si>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</si>
  <si>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</si>
  <si>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</si>
  <si>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</si>
  <si>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</si>
  <si>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</si>
  <si>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</si>
  <si>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</si>
  <si>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</si>
  <si>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</si>
  <si>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</si>
  <si>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</si>
  <si>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</si>
  <si>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</si>
  <si>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</si>
  <si>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</si>
  <si>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</si>
  <si>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</si>
  <si>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</si>
  <si>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</si>
  <si>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</si>
  <si>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</si>
  <si>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</si>
  <si>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</si>
  <si>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</si>
  <si>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</si>
  <si>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</si>
  <si>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</si>
  <si>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</si>
  <si>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</si>
  <si>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</si>
  <si>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</si>
  <si>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</si>
  <si>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</si>
  <si>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</si>
  <si>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</si>
  <si>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</si>
  <si>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</si>
  <si>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</si>
  <si>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</si>
  <si>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</si>
  <si>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</si>
  <si>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</si>
  <si>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</si>
  <si>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</si>
  <si>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</si>
  <si>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</si>
  <si>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</si>
  <si>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</si>
  <si>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</si>
  <si>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</si>
  <si>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</si>
  <si>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</si>
  <si>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</si>
  <si>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</si>
  <si>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</si>
  <si>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</si>
  <si>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</si>
  <si>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</si>
  <si>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</si>
  <si>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</si>
  <si>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</si>
  <si>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</si>
  <si>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</si>
  <si>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</si>
  <si>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</si>
  <si>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</si>
  <si>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</si>
  <si>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</si>
  <si>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</si>
  <si>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</si>
  <si>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</si>
  <si>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</si>
  <si>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</si>
  <si>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</si>
  <si>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</si>
  <si>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</si>
  <si>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</si>
  <si>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</si>
  <si>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</si>
  <si>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</si>
  <si>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</si>
  <si>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</si>
  <si>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</si>
  <si>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</si>
  <si>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</si>
  <si>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</si>
  <si>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</si>
  <si>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</si>
  <si>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</si>
  <si>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</si>
  <si>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</si>
  <si>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</si>
  <si>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</si>
  <si>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</si>
  <si>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</si>
  <si>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</si>
  <si>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</si>
  <si>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</si>
  <si>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</si>
  <si>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</si>
  <si>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</si>
  <si>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</si>
  <si>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</si>
  <si>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</si>
  <si>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</si>
  <si>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</si>
  <si>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</si>
  <si>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</si>
  <si>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</si>
  <si>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</si>
  <si>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</si>
  <si>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</si>
  <si>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</si>
  <si>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</si>
  <si>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</si>
  <si>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</si>
  <si>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</si>
  <si>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</si>
  <si>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</si>
  <si>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</si>
  <si>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</si>
  <si>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</si>
  <si>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</si>
  <si>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</si>
  <si>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</si>
  <si>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</si>
  <si>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</si>
  <si>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</si>
  <si>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</si>
  <si>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</si>
  <si>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</si>
  <si>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</si>
  <si>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</si>
  <si>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</si>
  <si>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</si>
  <si>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</si>
  <si>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</si>
  <si>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</si>
  <si>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</si>
  <si>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</si>
  <si>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</si>
  <si>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</si>
  <si>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</si>
  <si>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</si>
  <si>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</si>
  <si>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</si>
  <si>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</si>
  <si>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</si>
  <si>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</si>
  <si>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</si>
  <si>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</si>
  <si>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</si>
  <si>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</si>
  <si>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</si>
  <si>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</si>
  <si>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</si>
  <si>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</si>
  <si>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</si>
  <si>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</si>
  <si>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</si>
  <si>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</si>
  <si>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</si>
  <si>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</si>
  <si>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</si>
  <si>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</si>
  <si>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</si>
  <si>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</si>
  <si>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</si>
  <si>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</si>
  <si>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</si>
  <si>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</si>
  <si>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</si>
  <si>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</si>
  <si>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</si>
  <si>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</si>
  <si>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</si>
  <si>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</si>
  <si>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</si>
  <si>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</si>
  <si>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</si>
  <si>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</si>
  <si>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</si>
  <si>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</si>
  <si>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</si>
  <si>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</si>
  <si>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</si>
  <si>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</si>
  <si>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</si>
  <si>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</si>
  <si>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</si>
  <si>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</si>
  <si>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</si>
  <si>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</si>
  <si>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</si>
  <si>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</si>
  <si>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</si>
  <si>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</si>
  <si>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</si>
  <si>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</si>
  <si>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</si>
  <si>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</si>
  <si>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</si>
  <si>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</si>
  <si>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</si>
  <si>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</si>
  <si>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</si>
  <si>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</si>
  <si>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</si>
  <si>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</si>
  <si>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</si>
  <si>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</si>
  <si>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</si>
  <si>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</si>
  <si>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</si>
  <si>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</si>
  <si>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</si>
  <si>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</si>
  <si>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</si>
  <si>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</si>
  <si>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</si>
  <si>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</si>
  <si>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</si>
  <si>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</si>
  <si>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</si>
  <si>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</si>
  <si>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</si>
  <si>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</si>
  <si>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</si>
  <si>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</si>
  <si>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</si>
  <si>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</si>
  <si>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</si>
  <si>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</si>
  <si>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</si>
  <si>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</si>
  <si>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</si>
  <si>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</si>
  <si>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</si>
  <si>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</si>
  <si>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</si>
  <si>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</si>
  <si>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</si>
  <si>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</si>
  <si>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</si>
  <si>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</si>
  <si>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</si>
  <si>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</si>
  <si>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</si>
  <si>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</si>
  <si>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</si>
  <si>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</si>
  <si>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</si>
  <si>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</si>
  <si>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</si>
  <si>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</si>
  <si>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</si>
  <si>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</si>
  <si>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</si>
  <si>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</si>
  <si>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</si>
  <si>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</si>
  <si>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</si>
  <si>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</si>
  <si>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</si>
  <si>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</si>
  <si>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</si>
  <si>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</si>
  <si>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</si>
  <si>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</si>
  <si>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</si>
  <si>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</si>
  <si>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</si>
  <si>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</si>
  <si>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</si>
  <si>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</si>
  <si>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</si>
  <si>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</si>
  <si>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</si>
  <si>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</si>
  <si>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</si>
  <si>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</si>
  <si>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</si>
  <si>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</si>
  <si>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</si>
  <si>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</si>
  <si>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</si>
  <si>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</si>
  <si>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</si>
  <si>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</si>
  <si>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</si>
  <si>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</si>
  <si>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</si>
  <si>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</si>
  <si>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</si>
  <si>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</si>
  <si>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</si>
  <si>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</si>
  <si>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</si>
  <si>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</si>
  <si>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</si>
  <si>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</si>
  <si>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</si>
  <si>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</si>
  <si>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</si>
  <si>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</si>
  <si>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</si>
  <si>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</si>
  <si>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</si>
  <si>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</si>
  <si>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</si>
  <si>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</si>
  <si>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</si>
  <si>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</si>
  <si>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</si>
  <si>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</si>
  <si>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</si>
  <si>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</si>
  <si>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</si>
  <si>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</si>
  <si>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</si>
  <si>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</si>
  <si>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</si>
  <si>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</si>
  <si>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</si>
  <si>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</si>
  <si>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</si>
  <si>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</si>
  <si>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</si>
  <si>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</si>
  <si>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</si>
  <si>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</si>
  <si>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</si>
  <si>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</si>
  <si>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</si>
  <si>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</si>
  <si>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</si>
  <si>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</si>
  <si>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</si>
  <si>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</si>
  <si>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</si>
  <si>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</si>
  <si>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</si>
  <si>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</si>
  <si>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</si>
  <si>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</si>
  <si>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</si>
  <si>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</si>
  <si>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</si>
  <si>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</si>
  <si>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</si>
  <si>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</si>
  <si>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</si>
  <si>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</si>
  <si>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</si>
  <si>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</si>
  <si>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</si>
  <si>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</si>
  <si>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</si>
  <si>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</si>
  <si>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</si>
  <si>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</si>
  <si>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</si>
  <si>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</si>
  <si>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</si>
  <si>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</si>
  <si>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</si>
  <si>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</si>
  <si>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</si>
  <si>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</si>
  <si>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</si>
  <si>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</si>
  <si>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</si>
  <si>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</si>
  <si>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</si>
  <si>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</si>
  <si>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</si>
  <si>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</si>
  <si>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</si>
  <si>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</si>
  <si>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</si>
  <si>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</si>
  <si>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</si>
  <si>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</si>
  <si>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</si>
  <si>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</si>
  <si>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</si>
  <si>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</si>
  <si>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</si>
  <si>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</si>
  <si>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</si>
  <si>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</si>
  <si>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</si>
  <si>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</si>
  <si>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</si>
  <si>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</si>
  <si>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</si>
  <si>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</si>
  <si>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</si>
  <si>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</si>
  <si>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</si>
  <si>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</si>
  <si>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</si>
  <si>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</si>
  <si>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</si>
  <si>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</si>
  <si>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</si>
  <si>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</si>
  <si>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</si>
  <si>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</si>
  <si>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</si>
  <si>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</si>
  <si>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</si>
  <si>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</si>
  <si>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</si>
  <si>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</si>
  <si>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</si>
  <si>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</si>
  <si>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</si>
  <si>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</si>
  <si>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</si>
  <si>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</si>
  <si>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</si>
  <si>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</si>
  <si>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</si>
  <si>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</si>
  <si>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</si>
  <si>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</si>
  <si>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</si>
  <si>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</si>
  <si>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</si>
  <si>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</si>
  <si>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</si>
  <si>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</si>
  <si>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</si>
  <si>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</si>
  <si>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</si>
  <si>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</si>
  <si>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</si>
  <si>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</si>
  <si>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</si>
  <si>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</si>
  <si>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</si>
  <si>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</si>
  <si>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</si>
  <si>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</si>
  <si>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</si>
  <si>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</si>
  <si>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</si>
  <si>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</si>
  <si>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</si>
  <si>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</si>
  <si>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</si>
  <si>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</si>
  <si>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</si>
  <si>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</si>
  <si>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</si>
  <si>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</si>
  <si>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</si>
  <si>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</si>
  <si>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</si>
  <si>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</si>
  <si>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</si>
  <si>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</si>
  <si>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</si>
  <si>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</si>
  <si>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</si>
  <si>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</si>
  <si>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</si>
  <si>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</si>
  <si>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</si>
  <si>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</si>
  <si>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</si>
  <si>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</si>
  <si>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</si>
  <si>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</si>
  <si>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</si>
  <si>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</si>
  <si>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</si>
  <si>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</si>
  <si>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</si>
  <si>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</si>
  <si>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</si>
  <si>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</si>
  <si>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</si>
  <si>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</si>
  <si>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</si>
  <si>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</si>
  <si>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</si>
  <si>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</si>
  <si>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</si>
  <si>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</si>
  <si>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</si>
  <si>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</si>
  <si>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</si>
  <si>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</si>
  <si>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</si>
  <si>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</si>
  <si>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</si>
  <si>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</si>
  <si>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</si>
  <si>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</si>
  <si>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</si>
  <si>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</si>
  <si>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</si>
  <si>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</si>
  <si>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</si>
  <si>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</si>
  <si>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</si>
  <si>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</si>
  <si>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</si>
  <si>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</si>
  <si>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</si>
  <si>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</si>
  <si>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</si>
  <si>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</si>
  <si>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</si>
  <si>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</si>
  <si>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</si>
  <si>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</si>
  <si>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</si>
  <si>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</si>
  <si>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</si>
  <si>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</si>
  <si>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</si>
  <si>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</si>
  <si>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</si>
  <si>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</si>
  <si>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</si>
  <si>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</si>
  <si>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</si>
  <si>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</si>
  <si>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</si>
  <si>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</si>
  <si>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</si>
  <si>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</si>
  <si>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</si>
  <si>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</si>
  <si>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</si>
  <si>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</si>
  <si>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</si>
  <si>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</si>
  <si>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</si>
  <si>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</si>
  <si>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</si>
  <si>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</si>
  <si>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</si>
  <si>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</si>
  <si>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</si>
  <si>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</si>
  <si>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</si>
  <si>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</si>
  <si>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</si>
  <si>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</si>
  <si>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</si>
  <si>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</si>
  <si>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</si>
  <si>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</si>
  <si>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</si>
  <si>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</si>
  <si>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</si>
  <si>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</si>
  <si>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</si>
  <si>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</si>
  <si>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</si>
  <si>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</si>
  <si>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</si>
  <si>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</si>
  <si>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</si>
  <si>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</si>
  <si>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</si>
  <si>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</si>
  <si>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</si>
  <si>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</si>
  <si>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</si>
  <si>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</si>
  <si>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</si>
  <si>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</si>
  <si>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</si>
  <si>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</si>
  <si>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</si>
  <si>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</si>
  <si>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</si>
  <si>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</si>
  <si>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</si>
  <si>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</si>
  <si>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</si>
  <si>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</si>
  <si>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</si>
  <si>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</si>
  <si>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</si>
  <si>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</si>
  <si>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</si>
  <si>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</si>
  <si>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</si>
  <si>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</si>
  <si>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</si>
  <si>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</si>
  <si>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</si>
  <si>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</si>
  <si>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</si>
  <si>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</si>
  <si>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</si>
  <si>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</si>
  <si>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</si>
  <si>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</si>
  <si>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</si>
  <si>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</si>
  <si>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</si>
  <si>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</si>
  <si>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</si>
  <si>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</si>
  <si>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</si>
  <si>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</si>
  <si>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</si>
  <si>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</si>
  <si>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</si>
  <si>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</si>
  <si>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</si>
  <si>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</si>
  <si>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</si>
  <si>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</si>
  <si>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</si>
  <si>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</si>
  <si>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</si>
  <si>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</si>
  <si>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</si>
  <si>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</si>
  <si>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</si>
  <si>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</si>
  <si>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</si>
  <si>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</si>
  <si>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</si>
  <si>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</si>
  <si>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</si>
  <si>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</si>
  <si>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</si>
  <si>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</si>
  <si>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</si>
  <si>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</si>
  <si>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</si>
  <si>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</si>
  <si>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</si>
  <si>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</si>
  <si>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</si>
  <si>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</si>
  <si>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</si>
  <si>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</si>
  <si>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</si>
  <si>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</si>
  <si>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</si>
  <si>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</si>
  <si>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</si>
  <si>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</si>
  <si>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</si>
  <si>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</si>
  <si>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</si>
  <si>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</si>
  <si>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</si>
  <si>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</si>
  <si>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</si>
  <si>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</si>
  <si>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</si>
  <si>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</si>
  <si>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</si>
  <si>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</si>
  <si>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</si>
  <si>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</si>
  <si>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</si>
  <si>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</si>
  <si>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</si>
  <si>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</si>
  <si>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</si>
  <si>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</si>
  <si>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</si>
  <si>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</si>
  <si>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</si>
  <si>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</si>
  <si>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</si>
  <si>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</si>
  <si>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</si>
  <si>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</si>
  <si>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</si>
  <si>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</si>
  <si>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</si>
  <si>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</si>
  <si>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</si>
  <si>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</si>
  <si>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</si>
  <si>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</si>
  <si>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</si>
  <si>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</si>
  <si>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</si>
  <si>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</si>
  <si>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</si>
  <si>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</si>
  <si>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</si>
  <si>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</si>
  <si>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</si>
  <si>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</si>
  <si>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</si>
  <si>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</si>
  <si>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</si>
  <si>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</si>
  <si>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</si>
  <si>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</si>
  <si>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</si>
  <si>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</si>
  <si>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</si>
  <si>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</si>
  <si>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</si>
  <si>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</si>
  <si>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</si>
  <si>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</si>
  <si>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</si>
  <si>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</si>
  <si>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</si>
  <si>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</si>
  <si>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</si>
  <si>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</si>
  <si>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</si>
  <si>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</si>
  <si>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</si>
  <si>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</si>
  <si>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</si>
  <si>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</si>
  <si>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</si>
  <si>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</si>
  <si>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</si>
  <si>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</si>
  <si>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</si>
  <si>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</si>
  <si>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</si>
  <si>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</si>
  <si>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</si>
  <si>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</si>
  <si>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</si>
  <si>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</si>
  <si>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</si>
  <si>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</si>
  <si>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</si>
  <si>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</si>
  <si>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</si>
  <si>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</si>
  <si>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</si>
  <si>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</si>
  <si>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</si>
  <si>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</si>
  <si>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</si>
  <si>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</si>
  <si>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</si>
  <si>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</si>
  <si>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</si>
  <si>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</si>
  <si>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</si>
  <si>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</si>
  <si>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</si>
  <si>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</si>
  <si>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</si>
  <si>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</si>
  <si>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</si>
  <si>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</si>
  <si>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</si>
  <si>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</si>
  <si>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</si>
  <si>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</si>
  <si>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</si>
  <si>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</si>
  <si>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</si>
  <si>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</si>
  <si>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</si>
  <si>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</si>
  <si>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</si>
  <si>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</si>
  <si>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</si>
  <si>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</si>
  <si>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</si>
  <si>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</si>
  <si>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</si>
  <si>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</si>
  <si>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</si>
  <si>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</si>
  <si>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</si>
  <si>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</si>
  <si>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</si>
  <si>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</si>
  <si>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</si>
  <si>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</si>
  <si>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</si>
  <si>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</si>
  <si>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</si>
  <si>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</si>
  <si>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</si>
  <si>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</si>
  <si>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</si>
  <si>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</si>
  <si>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</si>
  <si>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</si>
  <si>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</si>
  <si>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</si>
  <si>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</si>
  <si>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</si>
  <si>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</si>
  <si>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</si>
  <si>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</si>
  <si>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</si>
  <si>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</si>
  <si>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</si>
  <si>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</si>
  <si>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</si>
  <si>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</si>
  <si>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</si>
  <si>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</si>
  <si>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</si>
  <si>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</si>
  <si>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</si>
  <si>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</si>
  <si>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</si>
  <si>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</si>
  <si>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</si>
  <si>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</si>
  <si>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</si>
  <si>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</si>
  <si>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</si>
  <si>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</si>
  <si>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</si>
  <si>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</si>
  <si>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</si>
  <si>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</si>
  <si>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</si>
  <si>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</si>
  <si>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</si>
  <si>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</si>
  <si>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</si>
  <si>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</si>
  <si>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</si>
  <si>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</si>
  <si>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</si>
  <si>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</si>
  <si>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</si>
  <si>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</si>
  <si>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</si>
  <si>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</si>
  <si>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</si>
  <si>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</si>
  <si>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</si>
  <si>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</si>
  <si>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</si>
  <si>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</si>
  <si>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</si>
  <si>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</si>
  <si>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</si>
  <si>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</si>
  <si>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</si>
  <si>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</si>
  <si>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</si>
  <si>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</si>
  <si>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</si>
  <si>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</si>
  <si>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</si>
  <si>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</si>
  <si>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</si>
  <si>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</si>
  <si>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</si>
  <si>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</si>
  <si>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</si>
  <si>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</si>
  <si>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</si>
  <si>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</si>
  <si>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</si>
  <si>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</si>
  <si>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</si>
  <si>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</si>
  <si>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</si>
  <si>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</si>
  <si>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</si>
  <si>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</si>
  <si>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</si>
  <si>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</si>
  <si>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</si>
  <si>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</si>
  <si>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</si>
  <si>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</si>
  <si>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</si>
  <si>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</si>
  <si>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</si>
  <si>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</si>
  <si>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</si>
  <si>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</si>
  <si>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</si>
  <si>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</si>
  <si>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</si>
  <si>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</si>
  <si>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</si>
  <si>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</si>
  <si>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</si>
  <si>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</si>
  <si>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</si>
  <si>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</si>
  <si>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</si>
  <si>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</si>
  <si>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</si>
  <si>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</si>
  <si>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</si>
  <si>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</si>
  <si>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</si>
  <si>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</si>
  <si>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</si>
  <si>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</si>
  <si>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</si>
  <si>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</si>
  <si>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</si>
  <si>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</si>
  <si>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</si>
  <si>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</si>
  <si>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</si>
  <si>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</si>
  <si>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</si>
  <si>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</si>
  <si>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</si>
  <si>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</si>
  <si>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</si>
  <si>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</si>
  <si>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</si>
  <si>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</si>
  <si>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</si>
  <si>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</si>
  <si>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</si>
  <si>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</si>
  <si>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</si>
  <si>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</si>
  <si>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</si>
  <si>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</si>
  <si>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</si>
  <si>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</si>
  <si>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</si>
  <si>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</si>
  <si>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</si>
  <si>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</si>
  <si>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</si>
  <si>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</si>
  <si>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</si>
  <si>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</si>
  <si>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</si>
  <si>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</si>
  <si>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</si>
  <si>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</si>
  <si>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</si>
  <si>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</si>
  <si>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</si>
  <si>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</si>
  <si>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</si>
  <si>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</si>
  <si>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</si>
  <si>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</si>
  <si>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</si>
  <si>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</si>
  <si>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</si>
  <si>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</si>
  <si>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</si>
  <si>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</si>
  <si>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</si>
  <si>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</si>
  <si>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</si>
  <si>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</si>
  <si>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</si>
  <si>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</si>
  <si>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</si>
  <si>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</si>
  <si>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</si>
  <si>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</si>
  <si>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</si>
  <si>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</si>
  <si>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</si>
  <si>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</si>
  <si>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</si>
  <si>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</si>
  <si>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</si>
  <si>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</si>
  <si>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</si>
  <si>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</si>
  <si>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</si>
  <si>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</si>
  <si>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</si>
  <si>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</si>
  <si>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</si>
  <si>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</si>
  <si>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</si>
  <si>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</si>
  <si>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</si>
  <si>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</si>
  <si>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</si>
  <si>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</si>
  <si>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</si>
  <si>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</si>
  <si>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</si>
  <si>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</si>
  <si>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</si>
  <si>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</si>
  <si>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</si>
  <si>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</si>
  <si>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</si>
  <si>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</si>
  <si>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</si>
  <si>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</si>
  <si>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</si>
  <si>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</si>
  <si>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</si>
  <si>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</si>
  <si>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</si>
  <si>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</si>
  <si>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</si>
  <si>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</si>
  <si>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</si>
  <si>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</si>
  <si>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</si>
  <si>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</si>
  <si>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</si>
  <si>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</si>
  <si>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</si>
  <si>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</si>
  <si>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</si>
  <si>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</si>
  <si>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</si>
  <si>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</si>
  <si>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</si>
  <si>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</si>
  <si>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</si>
  <si>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</si>
  <si>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</si>
  <si>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</si>
  <si>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</si>
  <si>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</si>
  <si>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</si>
  <si>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</si>
  <si>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</si>
  <si>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</si>
  <si>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</si>
  <si>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</si>
  <si>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</si>
  <si>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</si>
  <si>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</si>
  <si>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</si>
  <si>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</si>
  <si>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</si>
  <si>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</si>
  <si>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</si>
  <si>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</si>
  <si>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</si>
  <si>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</si>
  <si>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</si>
  <si>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</si>
  <si>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</si>
  <si>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</si>
  <si>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</si>
  <si>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</si>
  <si>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</si>
  <si>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</si>
  <si>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</si>
  <si>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</si>
  <si>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</si>
  <si>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</si>
  <si>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</si>
  <si>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</si>
  <si>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</si>
  <si>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</si>
  <si>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</si>
  <si>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</si>
  <si>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</si>
  <si>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</si>
  <si>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</si>
  <si>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</si>
  <si>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</si>
  <si>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</si>
  <si>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</si>
  <si>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</si>
  <si>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</si>
  <si>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</si>
  <si>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</si>
  <si>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</si>
  <si>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</si>
  <si>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</si>
  <si>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</si>
  <si>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</si>
  <si>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</si>
  <si>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</si>
  <si>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</si>
  <si>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</si>
  <si>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</si>
  <si>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</si>
  <si>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</si>
  <si>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</si>
  <si>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</si>
  <si>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</si>
  <si>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</si>
  <si>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</si>
  <si>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</si>
  <si>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</si>
  <si>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</si>
  <si>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</si>
  <si>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</si>
  <si>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</si>
  <si>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</si>
  <si>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</si>
  <si>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</si>
  <si>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</si>
  <si>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</si>
  <si>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</si>
  <si>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</si>
  <si>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</si>
  <si>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</si>
  <si>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</si>
  <si>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</si>
  <si>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</si>
  <si>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</si>
  <si>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</si>
  <si>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</si>
  <si>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</si>
  <si>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</si>
  <si>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</si>
  <si>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</si>
  <si>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</si>
  <si>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</si>
  <si>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</si>
  <si>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</si>
  <si>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</si>
  <si>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</si>
  <si>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</si>
  <si>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</si>
  <si>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</si>
  <si>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</si>
  <si>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</si>
  <si>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</si>
  <si>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</si>
  <si>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</si>
  <si>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</si>
  <si>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</si>
  <si>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</si>
  <si>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</si>
  <si>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</si>
  <si>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</si>
  <si>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</si>
  <si>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</si>
  <si>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</si>
  <si>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</si>
  <si>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</si>
  <si>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</si>
  <si>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</si>
  <si>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</si>
  <si>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</si>
  <si>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</si>
  <si>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</si>
  <si>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</si>
  <si>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</si>
  <si>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</si>
  <si>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</si>
  <si>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</si>
  <si>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</si>
  <si>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</si>
  <si>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</si>
  <si>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</si>
  <si>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</si>
  <si>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</si>
  <si>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</si>
  <si>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</si>
  <si>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</si>
  <si>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</si>
  <si>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</si>
  <si>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</si>
  <si>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</si>
  <si>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</si>
  <si>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</si>
  <si>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</si>
  <si>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</si>
  <si>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</si>
  <si>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</si>
  <si>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</si>
  <si>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</si>
  <si>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</si>
  <si>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</si>
  <si>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</si>
  <si>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</si>
  <si>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</si>
  <si>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</si>
  <si>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</si>
  <si>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</si>
  <si>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</si>
  <si>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</si>
  <si>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</si>
  <si>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</si>
  <si>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</si>
  <si>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</si>
  <si>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</si>
  <si>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</si>
  <si>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</si>
  <si>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</si>
  <si>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</si>
  <si>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</si>
  <si>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</si>
  <si>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</si>
  <si>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</si>
  <si>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</si>
  <si>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</si>
  <si>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</si>
  <si>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</si>
  <si>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</si>
  <si>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</si>
  <si>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</si>
  <si>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</si>
  <si>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</si>
  <si>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</si>
  <si>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</si>
  <si>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</si>
  <si>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</si>
  <si>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</si>
  <si>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</si>
  <si>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</si>
  <si>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</si>
  <si>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</si>
  <si>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</si>
  <si>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</si>
  <si>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</si>
  <si>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</si>
  <si>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</si>
  <si>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</si>
  <si>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</si>
  <si>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</si>
  <si>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</si>
  <si>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</si>
  <si>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</si>
  <si>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</si>
  <si>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</si>
  <si>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</si>
  <si>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</si>
  <si>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</si>
  <si>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</si>
  <si>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</si>
  <si>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</si>
  <si>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</si>
  <si>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</si>
  <si>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</si>
  <si>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</si>
  <si>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</si>
  <si>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</si>
  <si>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</si>
  <si>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</si>
  <si>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</si>
  <si>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</si>
  <si>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</si>
  <si>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</si>
  <si>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</si>
  <si>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</si>
  <si>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</si>
  <si>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</si>
  <si>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</si>
  <si>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</si>
  <si>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</si>
  <si>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</si>
  <si>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</si>
  <si>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</si>
  <si>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</si>
  <si>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</si>
  <si>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</si>
  <si>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</si>
  <si>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</si>
  <si>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</si>
  <si>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</si>
  <si>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</si>
  <si>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</si>
  <si>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</si>
  <si>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</si>
  <si>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</si>
  <si>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</si>
  <si>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</si>
  <si>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</si>
  <si>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</si>
  <si>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</si>
  <si>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</si>
  <si>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</si>
  <si>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</si>
  <si>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</si>
  <si>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</si>
  <si>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</si>
  <si>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</si>
  <si>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</si>
  <si>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</si>
  <si>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</si>
  <si>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</si>
  <si>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</si>
  <si>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</si>
  <si>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</si>
  <si>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</si>
  <si>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</si>
  <si>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</si>
  <si>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</si>
  <si>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</si>
  <si>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</si>
  <si>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</si>
  <si>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</si>
  <si>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</si>
  <si>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</si>
  <si>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</si>
  <si>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</si>
  <si>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</si>
  <si>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</si>
  <si>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</si>
  <si>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</si>
  <si>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</si>
  <si>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</si>
  <si>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</si>
  <si>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</si>
  <si>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</si>
  <si>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</si>
  <si>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</si>
  <si>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</si>
  <si>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</si>
  <si>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</si>
  <si>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</si>
  <si>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</si>
  <si>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</si>
  <si>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</si>
  <si>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</si>
  <si>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</si>
  <si>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</si>
  <si>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</si>
  <si>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</si>
  <si>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</si>
  <si>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</si>
  <si>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</si>
  <si>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</si>
  <si>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</si>
  <si>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</si>
  <si>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</si>
  <si>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</si>
  <si>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</si>
  <si>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</si>
  <si>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</si>
  <si>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</si>
  <si>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</si>
  <si>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</si>
  <si>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</si>
  <si>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</si>
  <si>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</si>
  <si>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</si>
  <si>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</si>
  <si>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</si>
  <si>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</si>
  <si>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</si>
  <si>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</si>
  <si>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</si>
  <si>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</si>
  <si>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</si>
  <si>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</si>
  <si>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</si>
  <si>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</si>
  <si>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</si>
  <si>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</si>
  <si>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</si>
  <si>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</si>
  <si>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</si>
  <si>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</si>
  <si>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</si>
  <si>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</si>
  <si>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</si>
  <si>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</si>
  <si>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</si>
  <si>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</si>
  <si>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</si>
  <si>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</si>
  <si>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</si>
  <si>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</si>
  <si>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</si>
  <si>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</si>
  <si>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</si>
  <si>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</si>
  <si>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</si>
  <si>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</si>
  <si>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</si>
  <si>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</si>
  <si>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</si>
  <si>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</si>
  <si>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</si>
  <si>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</si>
  <si>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</si>
  <si>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</si>
  <si>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</si>
  <si>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</si>
  <si>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</si>
  <si>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</si>
  <si>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</si>
  <si>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</si>
  <si>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</si>
  <si>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</si>
  <si>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</si>
  <si>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</si>
  <si>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</si>
  <si>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</si>
  <si>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</si>
  <si>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</si>
  <si>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</si>
  <si>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</si>
  <si>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</si>
  <si>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</si>
  <si>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</si>
  <si>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</si>
  <si>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</si>
  <si>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</si>
  <si>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</si>
  <si>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</si>
  <si>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</si>
  <si>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</si>
  <si>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</si>
  <si>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</si>
  <si>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</si>
  <si>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</si>
  <si>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</si>
  <si>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</si>
  <si>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</si>
  <si>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</si>
  <si>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</si>
  <si>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</si>
  <si>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</si>
  <si>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</si>
  <si>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</si>
  <si>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</si>
  <si>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</si>
  <si>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</si>
  <si>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</si>
  <si>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</si>
  <si>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</si>
  <si>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</si>
  <si>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</si>
  <si>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</si>
  <si>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</si>
  <si>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</si>
  <si>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</si>
  <si>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</si>
  <si>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</si>
  <si>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</si>
  <si>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</si>
  <si>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</si>
  <si>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</si>
  <si>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</si>
  <si>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</si>
  <si>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</si>
  <si>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</si>
  <si>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</si>
  <si>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</si>
  <si>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</si>
  <si>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</si>
  <si>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</si>
  <si>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</si>
  <si>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</si>
  <si>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</si>
  <si>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</si>
  <si>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</si>
  <si>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</si>
  <si>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</si>
  <si>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</si>
  <si>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</si>
  <si>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</si>
  <si>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</si>
  <si>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</si>
  <si>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</si>
  <si>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</si>
  <si>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</si>
  <si>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</si>
  <si>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</si>
  <si>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</si>
  <si>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</si>
  <si>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</si>
  <si>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</si>
  <si>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</si>
  <si>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</si>
  <si>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</si>
  <si>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</si>
  <si>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</si>
  <si>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</si>
  <si>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</si>
  <si>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</si>
  <si>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</si>
  <si>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</si>
  <si>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</si>
  <si>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</si>
  <si>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</si>
  <si>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</si>
  <si>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</si>
  <si>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</si>
  <si>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</si>
  <si>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</si>
  <si>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</si>
  <si>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</si>
  <si>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</si>
  <si>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</si>
  <si>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</si>
  <si>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</si>
  <si>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</si>
  <si>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</si>
  <si>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</si>
  <si>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</si>
  <si>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</si>
  <si>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</si>
  <si>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</si>
  <si>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</si>
  <si>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</si>
  <si>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</si>
  <si>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</si>
  <si>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</si>
  <si>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</si>
  <si>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</si>
  <si>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</si>
  <si>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</si>
  <si>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</si>
  <si>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</si>
  <si>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</si>
  <si>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</si>
  <si>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</si>
  <si>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</si>
  <si>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</si>
  <si>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</si>
  <si>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</si>
  <si>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</si>
  <si>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</si>
  <si>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</si>
  <si>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</si>
  <si>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</si>
  <si>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</si>
  <si>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</si>
  <si>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</si>
  <si>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</si>
  <si>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</si>
  <si>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</si>
  <si>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</si>
  <si>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</si>
  <si>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</si>
  <si>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</si>
  <si>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</si>
  <si>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</si>
  <si>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</si>
  <si>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</si>
  <si>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</si>
  <si>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</si>
  <si>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</si>
  <si>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</si>
  <si>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</si>
  <si>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</si>
  <si>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</si>
  <si>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</si>
  <si>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</si>
  <si>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</si>
  <si>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</si>
  <si>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</si>
  <si>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</si>
  <si>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</si>
  <si>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</si>
  <si>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</si>
  <si>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</si>
  <si>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</si>
  <si>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</si>
  <si>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</si>
  <si>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</si>
  <si>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</si>
  <si>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</si>
  <si>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</si>
  <si>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</si>
  <si>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</si>
  <si>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</si>
  <si>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</si>
  <si>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</si>
  <si>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</si>
  <si>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</si>
  <si>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</si>
  <si>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</si>
  <si>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</si>
  <si>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</si>
  <si>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</si>
  <si>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</si>
  <si>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</si>
  <si>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</si>
  <si>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</si>
  <si>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</si>
  <si>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</si>
  <si>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</si>
  <si>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</si>
  <si>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</si>
  <si>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</si>
  <si>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</si>
  <si>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</si>
  <si>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</si>
  <si>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</si>
  <si>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</si>
  <si>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</si>
  <si>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</si>
  <si>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</si>
  <si>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</si>
  <si>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</si>
  <si>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</si>
  <si>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</si>
  <si>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</si>
  <si>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</si>
  <si>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</si>
  <si>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</si>
  <si>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</si>
  <si>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</si>
  <si>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</si>
  <si>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</si>
  <si>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</si>
  <si>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</si>
  <si>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</si>
  <si>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</si>
  <si>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</si>
  <si>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</si>
  <si>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</si>
  <si>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</si>
  <si>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</si>
  <si>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</si>
  <si>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</si>
  <si>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</si>
  <si>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</si>
  <si>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</si>
  <si>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</si>
  <si>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</si>
  <si>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</si>
  <si>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</si>
  <si>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</si>
  <si>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</si>
  <si>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</si>
  <si>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</si>
  <si>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</si>
  <si>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</si>
  <si>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</si>
  <si>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</si>
  <si>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</si>
  <si>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</si>
  <si>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</si>
  <si>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</si>
  <si>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</si>
  <si>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</si>
  <si>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</si>
  <si>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</si>
  <si>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</si>
  <si>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</si>
  <si>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</si>
  <si>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</si>
  <si>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</si>
  <si>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</si>
  <si>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</si>
  <si>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</si>
  <si>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</si>
  <si>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</si>
  <si>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</si>
  <si>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</si>
  <si>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</si>
  <si>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</si>
  <si>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</si>
  <si>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</si>
  <si>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</si>
  <si>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</si>
  <si>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</si>
  <si>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</si>
  <si>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</si>
  <si>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</si>
  <si>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</si>
  <si>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</si>
  <si>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</si>
  <si>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</si>
  <si>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</si>
  <si>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</si>
  <si>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</si>
  <si>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</si>
  <si>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</si>
  <si>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</si>
  <si>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</si>
  <si>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</si>
  <si>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</si>
  <si>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</si>
  <si>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</si>
  <si>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</si>
  <si>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</si>
  <si>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</si>
  <si>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</si>
  <si>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</si>
  <si>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</si>
  <si>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</si>
  <si>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</si>
  <si>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</si>
  <si>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</si>
  <si>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</si>
  <si>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</si>
  <si>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</si>
  <si>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</si>
  <si>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</si>
  <si>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</si>
  <si>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</si>
  <si>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</si>
  <si>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</si>
  <si>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</si>
  <si>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</si>
  <si>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</si>
  <si>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</si>
  <si>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</si>
  <si>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</si>
  <si>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</si>
  <si>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</si>
  <si>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</si>
  <si>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</si>
  <si>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</si>
  <si>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</si>
  <si>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</si>
  <si>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</si>
  <si>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</si>
  <si>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</si>
  <si>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</si>
  <si>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</si>
  <si>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</si>
  <si>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</si>
  <si>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</si>
  <si>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</si>
  <si>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</si>
  <si>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</si>
  <si>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</si>
  <si>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</si>
  <si>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</si>
  <si>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</si>
  <si>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</si>
  <si>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</si>
  <si>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</si>
  <si>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</si>
  <si>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</si>
  <si>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</si>
  <si>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</si>
  <si>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</si>
  <si>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</si>
  <si>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</si>
  <si>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</si>
  <si>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</si>
  <si>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</si>
  <si>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</si>
  <si>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</si>
  <si>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</si>
  <si>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</si>
  <si>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</si>
  <si>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</si>
  <si>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</si>
  <si>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</si>
  <si>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</si>
  <si>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</si>
  <si>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</si>
  <si>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</si>
  <si>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</si>
  <si>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</si>
  <si>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</si>
  <si>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</si>
  <si>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</si>
  <si>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</si>
  <si>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</si>
  <si>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</si>
  <si>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</si>
  <si>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</si>
  <si>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</si>
  <si>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</si>
  <si>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</si>
  <si>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</si>
  <si>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</si>
  <si>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</si>
  <si>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</si>
  <si>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</si>
  <si>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</si>
  <si>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</si>
  <si>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</si>
  <si>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</si>
  <si>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</si>
  <si>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</si>
  <si>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</si>
  <si>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</si>
  <si>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</si>
  <si>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</si>
  <si>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</si>
  <si>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</si>
  <si>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</si>
  <si>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</si>
  <si>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</si>
  <si>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</si>
  <si>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</si>
  <si>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</si>
  <si>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</si>
  <si>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</si>
  <si>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</si>
  <si>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</si>
  <si>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</si>
  <si>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</si>
  <si>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</si>
  <si>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</si>
  <si>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</si>
  <si>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</si>
  <si>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</si>
  <si>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</si>
  <si>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</si>
  <si>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</si>
  <si>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</si>
  <si>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</si>
  <si>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</si>
  <si>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</si>
  <si>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</si>
  <si>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</si>
  <si>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</si>
  <si>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</si>
  <si>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</si>
  <si>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</si>
  <si>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</si>
  <si>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</si>
  <si>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</si>
  <si>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</si>
  <si>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</si>
  <si>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</si>
  <si>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</si>
  <si>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</si>
  <si>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</si>
  <si>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</si>
  <si>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</si>
  <si>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</si>
  <si>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</si>
  <si>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</si>
  <si>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</si>
  <si>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</si>
  <si>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</si>
  <si>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</si>
  <si>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</si>
  <si>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</si>
  <si>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</si>
  <si>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</si>
  <si>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</si>
  <si>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</si>
  <si>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</si>
  <si>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</si>
  <si>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</si>
  <si>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</si>
  <si>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</si>
  <si>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</si>
  <si>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</si>
  <si>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</si>
  <si>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</si>
  <si>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</si>
  <si>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</si>
  <si>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</si>
  <si>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</si>
  <si>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</si>
  <si>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</si>
  <si>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</si>
  <si>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</si>
  <si>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</si>
  <si>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</si>
  <si>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</si>
  <si>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</si>
  <si>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</si>
  <si>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</si>
  <si>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</si>
  <si>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</si>
  <si>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</si>
  <si>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</si>
  <si>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</si>
  <si>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</si>
  <si>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</si>
  <si>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</si>
  <si>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</si>
  <si>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</si>
  <si>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</si>
  <si>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</si>
  <si>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</si>
  <si>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</si>
  <si>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</si>
  <si>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</si>
  <si>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</si>
  <si>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</si>
  <si>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</si>
  <si>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</si>
  <si>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</si>
  <si>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</si>
  <si>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</si>
  <si>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</si>
  <si>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</si>
  <si>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</si>
  <si>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</si>
  <si>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</si>
  <si>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</si>
  <si>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</si>
  <si>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</si>
  <si>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</si>
  <si>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</si>
  <si>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</si>
  <si>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</si>
  <si>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</si>
  <si>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</si>
  <si>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</si>
  <si>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</si>
  <si>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</si>
  <si>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</si>
  <si>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</si>
  <si>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</si>
  <si>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</si>
  <si>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</si>
  <si>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</si>
  <si>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</si>
  <si>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</si>
  <si>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</si>
  <si>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</si>
  <si>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</si>
  <si>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</si>
  <si>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</si>
  <si>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</si>
  <si>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</si>
  <si>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</si>
  <si>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</si>
  <si>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</si>
  <si>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</si>
  <si>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</si>
  <si>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</si>
  <si>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</si>
  <si>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</si>
  <si>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</si>
  <si>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</si>
  <si>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</si>
  <si>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</si>
  <si>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</si>
  <si>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</si>
  <si>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</si>
  <si>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</si>
  <si>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</si>
  <si>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</si>
  <si>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</si>
  <si>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</si>
  <si>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</si>
  <si>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</si>
  <si>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</si>
  <si>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</si>
  <si>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</si>
  <si>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</si>
  <si>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</si>
  <si>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</si>
  <si>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</si>
  <si>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</si>
  <si>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</si>
  <si>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</si>
  <si>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</si>
  <si>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</si>
  <si>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</si>
  <si>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</si>
  <si>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</si>
  <si>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</si>
  <si>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</si>
  <si>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</si>
  <si>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</si>
  <si>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</si>
  <si>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</si>
  <si>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</si>
  <si>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</si>
  <si>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</si>
  <si>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</si>
  <si>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</si>
  <si>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</si>
  <si>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</si>
  <si>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</si>
  <si>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</si>
  <si>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</si>
  <si>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</si>
  <si>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</si>
  <si>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</si>
  <si>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</si>
  <si>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</si>
  <si>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</si>
  <si>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</si>
  <si>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</si>
  <si>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</si>
  <si>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</si>
  <si>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</si>
  <si>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</si>
  <si>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</si>
  <si>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</si>
  <si>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</si>
  <si>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</si>
  <si>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</si>
  <si>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</si>
  <si>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</si>
  <si>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</si>
  <si>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</si>
  <si>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</si>
  <si>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</si>
  <si>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</si>
  <si>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</si>
  <si>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</si>
  <si>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</si>
  <si>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</si>
  <si>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</si>
  <si>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</si>
  <si>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</si>
  <si>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</si>
  <si>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</si>
  <si>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</si>
  <si>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</si>
  <si>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</si>
  <si>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</si>
  <si>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</si>
  <si>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</si>
  <si>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</si>
  <si>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</si>
  <si>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</si>
  <si>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</si>
  <si>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</si>
  <si>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</si>
  <si>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</si>
  <si>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</si>
  <si>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</si>
  <si>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</si>
  <si>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</si>
  <si>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</si>
  <si>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</si>
  <si>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</si>
  <si>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</si>
  <si>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</si>
  <si>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</si>
  <si>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</si>
  <si>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</si>
  <si>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</si>
  <si>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</si>
  <si>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</si>
  <si>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</si>
  <si>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</si>
  <si>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</si>
  <si>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</si>
  <si>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</si>
  <si>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</si>
  <si>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</si>
  <si>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</si>
  <si>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</si>
  <si>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</si>
  <si>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</si>
  <si>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</si>
  <si>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</si>
  <si>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</si>
  <si>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</si>
  <si>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</si>
  <si>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</si>
  <si>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</si>
  <si>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</si>
  <si>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</si>
  <si>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</si>
  <si>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</si>
  <si>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</si>
  <si>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</si>
  <si>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</si>
  <si>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</si>
  <si>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</si>
  <si>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</si>
  <si>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</si>
  <si>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</si>
  <si>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</si>
  <si>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</si>
  <si>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</si>
  <si>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</si>
  <si>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</si>
  <si>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</si>
  <si>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</si>
  <si>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</si>
  <si>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</si>
  <si>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</si>
  <si>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</si>
  <si>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</si>
  <si>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</si>
  <si>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</si>
  <si>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</si>
  <si>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</si>
  <si>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</si>
  <si>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</si>
  <si>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</si>
  <si>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</si>
  <si>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</si>
  <si>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</si>
  <si>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</si>
  <si>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</si>
  <si>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</si>
  <si>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</si>
  <si>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</si>
  <si>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</si>
  <si>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</si>
  <si>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</si>
  <si>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</si>
  <si>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</si>
  <si>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</si>
  <si>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</si>
  <si>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</si>
  <si>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</si>
  <si>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</si>
  <si>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</si>
  <si>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</si>
  <si>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</si>
  <si>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</si>
  <si>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</si>
  <si>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</si>
  <si>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</si>
  <si>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</si>
  <si>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</si>
  <si>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</si>
  <si>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</si>
  <si>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</si>
  <si>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</si>
  <si>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</si>
  <si>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</si>
  <si>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</si>
  <si>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</si>
  <si>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</si>
  <si>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</si>
  <si>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</si>
  <si>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</si>
  <si>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</si>
  <si>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</si>
  <si>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</si>
  <si>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</si>
  <si>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</si>
  <si>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</si>
  <si>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</si>
  <si>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</si>
  <si>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</si>
  <si>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</si>
  <si>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</si>
  <si>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</si>
  <si>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</si>
  <si>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</si>
  <si>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</si>
  <si>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</si>
  <si>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</si>
  <si>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</si>
  <si>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</si>
  <si>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</si>
  <si>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</si>
  <si>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</si>
  <si>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</si>
  <si>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</si>
  <si>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</si>
  <si>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</si>
  <si>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</si>
  <si>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</si>
  <si>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</si>
  <si>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</si>
  <si>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</si>
  <si>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</si>
  <si>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</si>
  <si>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</si>
  <si>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</si>
  <si>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</si>
  <si>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</si>
  <si>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</si>
  <si>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</si>
  <si>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</si>
  <si>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</si>
  <si>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</si>
  <si>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</si>
  <si>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</si>
  <si>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</si>
  <si>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</si>
  <si>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</si>
  <si>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</si>
  <si>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</si>
  <si>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</si>
  <si>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</si>
  <si>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</si>
  <si>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</si>
  <si>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</si>
  <si>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</si>
  <si>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</si>
  <si>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</si>
  <si>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</si>
  <si>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</si>
  <si>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</si>
  <si>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</si>
  <si>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</si>
  <si>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</si>
  <si>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</si>
  <si>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</si>
  <si>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</si>
  <si>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</si>
  <si>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</si>
  <si>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</si>
  <si>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</si>
  <si>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</si>
  <si>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</si>
  <si>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</si>
  <si>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</si>
  <si>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</si>
  <si>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</si>
  <si>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</si>
  <si>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</si>
  <si>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</si>
  <si>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</si>
  <si>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</si>
  <si>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</si>
  <si>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</si>
  <si>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</si>
  <si>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</si>
  <si>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</si>
  <si>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</si>
  <si>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</si>
  <si>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</si>
  <si>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</si>
  <si>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</si>
  <si>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</si>
  <si>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</si>
  <si>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</si>
  <si>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</si>
  <si>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</si>
  <si>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</si>
  <si>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</si>
  <si>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</si>
  <si>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</si>
  <si>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</si>
  <si>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</si>
  <si>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</si>
  <si>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</si>
  <si>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</si>
  <si>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</si>
  <si>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</si>
  <si>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</si>
  <si>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</si>
  <si>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</si>
  <si>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</si>
  <si>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</si>
  <si>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</si>
  <si>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</si>
  <si>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</si>
  <si>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</si>
  <si>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</si>
  <si>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</si>
  <si>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</si>
  <si>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</si>
  <si>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</si>
  <si>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</si>
  <si>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</si>
  <si>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</si>
  <si>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</si>
  <si>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</si>
  <si>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</si>
  <si>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</si>
  <si>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</si>
  <si>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</si>
  <si>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</si>
  <si>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</si>
  <si>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</si>
  <si>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</si>
  <si>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</si>
  <si>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</si>
  <si>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</si>
  <si>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</si>
  <si>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</si>
  <si>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</si>
  <si>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</si>
  <si>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</si>
  <si>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</si>
  <si>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</si>
  <si>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</si>
  <si>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</si>
  <si>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</si>
  <si>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</si>
  <si>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</si>
  <si>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</si>
  <si>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</si>
  <si>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</si>
  <si>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</si>
  <si>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</si>
  <si>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</si>
  <si>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</si>
  <si>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</si>
  <si>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</si>
  <si>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</si>
  <si>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</si>
  <si>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</si>
  <si>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</si>
  <si>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</si>
  <si>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</si>
  <si>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</si>
  <si>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</si>
  <si>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</si>
  <si>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</si>
  <si>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</si>
  <si>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</si>
  <si>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</si>
  <si>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</si>
  <si>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</si>
  <si>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</si>
  <si>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</si>
  <si>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</si>
  <si>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</si>
  <si>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</si>
  <si>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</si>
  <si>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</si>
  <si>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</si>
  <si>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</si>
  <si>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</si>
  <si>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</si>
  <si>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</si>
  <si>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</si>
  <si>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</si>
  <si>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</si>
  <si>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</si>
  <si>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</si>
  <si>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</si>
  <si>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</si>
  <si>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</si>
  <si>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</si>
  <si>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</si>
  <si>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</si>
  <si>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</si>
  <si>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</si>
  <si>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</si>
  <si>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</si>
  <si>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</si>
  <si>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</si>
  <si>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</si>
  <si>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</si>
  <si>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</si>
  <si>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</si>
  <si>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</si>
  <si>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</si>
  <si>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</si>
  <si>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</si>
  <si>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</si>
  <si>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</si>
  <si>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</si>
  <si>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</si>
  <si>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</si>
  <si>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</si>
  <si>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</si>
  <si>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</si>
  <si>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</si>
  <si>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</si>
  <si>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</si>
  <si>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</si>
  <si>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</si>
  <si>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</si>
  <si>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</si>
  <si>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</si>
  <si>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</si>
  <si>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</si>
  <si>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</si>
  <si>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</si>
  <si>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</si>
  <si>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</si>
  <si>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</si>
  <si>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</si>
  <si>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</si>
  <si>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</si>
  <si>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</si>
  <si>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</si>
  <si>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</si>
  <si>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</si>
  <si>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</si>
  <si>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</si>
  <si>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</si>
  <si>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</si>
  <si>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</si>
  <si>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</si>
  <si>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</si>
  <si>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</si>
  <si>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</si>
  <si>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</si>
  <si>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</si>
  <si>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</si>
  <si>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</si>
  <si>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</si>
  <si>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</si>
  <si>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</si>
  <si>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</si>
  <si>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</si>
  <si>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</si>
  <si>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</si>
  <si>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</si>
  <si>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</si>
  <si>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</si>
  <si>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</si>
  <si>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</si>
  <si>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</si>
  <si>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</si>
  <si>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</si>
  <si>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</si>
  <si>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</si>
  <si>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</si>
  <si>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</si>
  <si>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</si>
  <si>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</si>
  <si>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</si>
  <si>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</si>
  <si>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</si>
  <si>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</si>
  <si>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</si>
  <si>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</si>
  <si>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</si>
  <si>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</si>
  <si>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</si>
  <si>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</si>
  <si>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</si>
  <si>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</si>
  <si>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</si>
  <si>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</si>
  <si>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</si>
  <si>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</si>
  <si>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</si>
  <si>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</si>
  <si>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</si>
  <si>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</si>
  <si>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</si>
  <si>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</si>
  <si>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</si>
  <si>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</si>
  <si>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</si>
  <si>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</si>
  <si>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</si>
  <si>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</si>
  <si>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</si>
  <si>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</si>
  <si>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</si>
  <si>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</si>
  <si>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</si>
  <si>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</si>
  <si>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</si>
  <si>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</si>
  <si>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</si>
  <si>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</si>
  <si>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</si>
  <si>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</si>
  <si>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</si>
  <si>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</si>
  <si>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</si>
  <si>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</si>
  <si>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</si>
  <si>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</si>
  <si>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</si>
  <si>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</si>
  <si>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</si>
  <si>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</si>
  <si>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</si>
  <si>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</si>
  <si>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</si>
  <si>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</si>
  <si>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</si>
  <si>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</si>
  <si>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</si>
  <si>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</si>
  <si>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</si>
  <si>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</si>
  <si>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</si>
  <si>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</si>
  <si>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</si>
  <si>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</si>
  <si>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</si>
  <si>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</si>
  <si>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</si>
  <si>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</si>
  <si>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</si>
  <si>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</si>
  <si>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</si>
  <si>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</si>
  <si>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</si>
  <si>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</si>
  <si>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</si>
  <si>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</si>
  <si>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</si>
  <si>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</si>
  <si>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</si>
  <si>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</si>
  <si>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</si>
  <si>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</si>
  <si>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</si>
  <si>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</si>
  <si>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</si>
  <si>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</si>
  <si>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</si>
  <si>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</si>
  <si>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</si>
  <si>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</si>
  <si>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</si>
  <si>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</si>
  <si>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</si>
  <si>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</si>
  <si>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</si>
  <si>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</si>
  <si>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</si>
  <si>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</si>
  <si>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</si>
  <si>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</si>
  <si>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</si>
  <si>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</si>
  <si>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</si>
  <si>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</si>
  <si>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</si>
  <si>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</si>
  <si>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</si>
  <si>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</si>
  <si>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</si>
  <si>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</si>
  <si>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</si>
  <si>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</si>
  <si>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</si>
  <si>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</si>
  <si>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</si>
  <si>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</si>
  <si>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</si>
  <si>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</si>
  <si>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</si>
  <si>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</si>
  <si>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</si>
  <si>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</si>
  <si>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</si>
  <si>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</si>
  <si>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</si>
  <si>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</si>
  <si>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</si>
  <si>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</si>
  <si>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</si>
  <si>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</si>
  <si>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</si>
  <si>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</si>
  <si>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</si>
  <si>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</si>
  <si>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</si>
  <si>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</si>
  <si>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</si>
  <si>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</si>
  <si>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</si>
  <si>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</si>
  <si>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</si>
  <si>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</si>
  <si>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</si>
  <si>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</si>
  <si>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</si>
  <si>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</si>
  <si>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</si>
  <si>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</si>
  <si>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</si>
  <si>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</si>
  <si>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</si>
  <si>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</si>
  <si>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</si>
  <si>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</si>
  <si>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</si>
  <si>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</si>
  <si>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</si>
  <si>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</si>
  <si>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</si>
  <si>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</si>
  <si>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</si>
  <si>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</si>
  <si>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</si>
  <si>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</si>
  <si>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</si>
  <si>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</si>
  <si>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</si>
  <si>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</si>
  <si>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</si>
  <si>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</si>
  <si>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</si>
  <si>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</si>
  <si>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</si>
  <si>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</si>
  <si>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</si>
  <si>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</si>
  <si>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</si>
  <si>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</si>
  <si>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</si>
  <si>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</si>
  <si>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</si>
  <si>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</si>
  <si>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</si>
  <si>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</si>
  <si>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</si>
  <si>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</si>
  <si>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</si>
  <si>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</si>
  <si>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</si>
  <si>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</si>
  <si>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</si>
  <si>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</si>
  <si>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</si>
  <si>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</si>
  <si>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</si>
  <si>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</si>
  <si>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</si>
  <si>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</si>
  <si>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</si>
  <si>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</si>
  <si>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</si>
  <si>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</si>
  <si>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</si>
  <si>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</si>
  <si>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</si>
  <si>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</si>
  <si>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</si>
  <si>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</si>
  <si>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</si>
  <si>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</si>
  <si>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</si>
  <si>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</si>
  <si>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</si>
  <si>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</si>
  <si>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</si>
  <si>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</si>
  <si>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</si>
  <si>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</si>
  <si>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</si>
  <si>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</si>
  <si>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</si>
  <si>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</si>
  <si>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</si>
  <si>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</si>
  <si>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</si>
  <si>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</si>
  <si>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</si>
  <si>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</si>
  <si>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</si>
  <si>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</si>
  <si>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</si>
  <si>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</si>
  <si>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</si>
  <si>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</si>
  <si>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</si>
  <si>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</si>
  <si>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</si>
  <si>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</si>
  <si>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</si>
  <si>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</si>
  <si>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</si>
  <si>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</si>
  <si>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</si>
  <si>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</si>
  <si>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</si>
  <si>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</si>
  <si>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</si>
  <si>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</si>
  <si>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</si>
  <si>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</si>
  <si>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</si>
  <si>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</si>
  <si>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</si>
  <si>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</si>
  <si>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</si>
  <si>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</si>
  <si>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</si>
  <si>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</si>
  <si>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</si>
  <si>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</si>
  <si>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</si>
  <si>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</si>
  <si>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</si>
  <si>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</si>
  <si>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</si>
  <si>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</si>
  <si>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</si>
  <si>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</si>
  <si>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</si>
  <si>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</si>
  <si>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</si>
  <si>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</si>
  <si>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</si>
  <si>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</si>
  <si>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</si>
  <si>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</si>
  <si>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</si>
  <si>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</si>
  <si>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</si>
  <si>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</si>
  <si>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</si>
  <si>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</si>
  <si>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</si>
  <si>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</si>
  <si>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</si>
  <si>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</si>
  <si>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</si>
  <si>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</si>
  <si>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</si>
  <si>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</si>
  <si>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</si>
  <si>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</si>
  <si>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</si>
  <si>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</si>
  <si>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</si>
  <si>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</si>
  <si>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</si>
  <si>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</si>
  <si>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</si>
  <si>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</si>
  <si>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</si>
  <si>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</si>
  <si>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</si>
  <si>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</si>
  <si>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</si>
  <si>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</si>
  <si>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</si>
  <si>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</si>
  <si>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</si>
  <si>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</si>
  <si>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</si>
  <si>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</si>
  <si>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</si>
  <si>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</si>
  <si>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</si>
  <si>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</si>
  <si>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</si>
  <si>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</si>
  <si>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</si>
  <si>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</si>
  <si>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</si>
  <si>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</si>
  <si>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</si>
  <si>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</si>
  <si>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</si>
  <si>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</si>
  <si>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</si>
  <si>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</si>
  <si>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</si>
  <si>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</si>
  <si>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</si>
  <si>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</si>
  <si>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</si>
  <si>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</si>
  <si>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</si>
  <si>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</si>
  <si>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</si>
  <si>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</si>
  <si>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</si>
  <si>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</si>
  <si>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</si>
  <si>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</si>
  <si>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</si>
  <si>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</si>
  <si>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</si>
  <si>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</si>
  <si>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</si>
  <si>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</si>
  <si>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</si>
  <si>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</si>
  <si>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</si>
  <si>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</si>
  <si>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</si>
  <si>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</si>
  <si>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</si>
  <si>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</si>
  <si>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</si>
  <si>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</si>
  <si>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</si>
  <si>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</si>
  <si>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</si>
  <si>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</si>
  <si>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</si>
  <si>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</si>
  <si>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</si>
  <si>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</si>
  <si>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</si>
  <si>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</si>
  <si>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</si>
  <si>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</si>
  <si>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</si>
  <si>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</si>
  <si>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</si>
  <si>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</si>
  <si>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</si>
  <si>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</si>
  <si>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</si>
  <si>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</si>
  <si>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</si>
  <si>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</si>
  <si>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</si>
  <si>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</si>
  <si>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</si>
  <si>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</si>
  <si>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</si>
  <si>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</si>
  <si>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</si>
  <si>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</si>
  <si>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</si>
  <si>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</si>
  <si>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</si>
  <si>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</si>
  <si>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</si>
  <si>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</si>
  <si>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</si>
  <si>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</si>
  <si>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</si>
  <si>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</si>
  <si>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</si>
  <si>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</si>
  <si>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</si>
  <si>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</si>
  <si>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</si>
  <si>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</si>
  <si>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</si>
  <si>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</si>
  <si>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</si>
  <si>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</si>
  <si>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</si>
  <si>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</si>
  <si>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</si>
  <si>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</si>
  <si>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</si>
  <si>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</si>
  <si>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</si>
  <si>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</si>
  <si>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</si>
  <si>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</si>
  <si>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</si>
  <si>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</si>
  <si>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</si>
  <si>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</si>
  <si>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</si>
  <si>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</si>
  <si>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</si>
  <si>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</si>
  <si>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</si>
  <si>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</si>
  <si>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</si>
  <si>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</si>
  <si>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</si>
  <si>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</si>
  <si>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</si>
  <si>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</si>
  <si>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</si>
  <si>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</si>
  <si>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</si>
  <si>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</si>
  <si>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</si>
  <si>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</si>
  <si>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</si>
  <si>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</si>
  <si>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</si>
  <si>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</si>
  <si>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</si>
  <si>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</si>
  <si>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</si>
  <si>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</si>
  <si>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</si>
  <si>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</si>
  <si>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</si>
  <si>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</si>
  <si>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</si>
  <si>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</si>
  <si>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</si>
  <si>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</si>
  <si>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</si>
  <si>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</si>
  <si>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</si>
  <si>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</si>
  <si>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</si>
  <si>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</si>
  <si>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</si>
  <si>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</si>
  <si>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</si>
  <si>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</si>
  <si>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</si>
  <si>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</si>
  <si>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</si>
  <si>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</si>
  <si>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</si>
  <si>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</si>
  <si>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</si>
  <si>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</si>
  <si>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</si>
  <si>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</si>
  <si>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</si>
  <si>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</si>
  <si>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</si>
  <si>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</si>
  <si>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</si>
  <si>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</si>
  <si>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</si>
  <si>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</si>
  <si>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</si>
  <si>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</si>
  <si>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</si>
  <si>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</si>
  <si>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</si>
  <si>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</si>
  <si>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</si>
  <si>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</si>
  <si>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</si>
  <si>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</si>
  <si>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</si>
  <si>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</si>
  <si>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</si>
  <si>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</si>
  <si>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</si>
  <si>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</si>
  <si>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</si>
  <si>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</si>
  <si>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</si>
  <si>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</si>
  <si>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</si>
  <si>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</si>
  <si>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</si>
  <si>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</si>
  <si>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</si>
  <si>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</si>
  <si>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</si>
  <si>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</si>
  <si>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</si>
  <si>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</si>
  <si>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</si>
  <si>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</si>
  <si>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</si>
  <si>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</si>
  <si>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</si>
  <si>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</si>
  <si>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</si>
  <si>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</si>
  <si>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</si>
  <si>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</si>
  <si>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</si>
  <si>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</si>
  <si>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</si>
  <si>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</si>
  <si>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</si>
  <si>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</si>
  <si>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</si>
  <si>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</si>
  <si>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</si>
  <si>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</si>
  <si>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</si>
  <si>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</si>
  <si>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</si>
  <si>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</si>
  <si>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</si>
  <si>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</si>
  <si>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</si>
  <si>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</si>
  <si>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</si>
  <si>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</si>
  <si>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</si>
  <si>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</si>
  <si>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</si>
  <si>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</si>
  <si>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</si>
  <si>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</si>
  <si>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</si>
  <si>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</si>
  <si>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</si>
  <si>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</si>
  <si>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</si>
  <si>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</si>
  <si>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</si>
  <si>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</si>
  <si>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</si>
  <si>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</si>
  <si>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</si>
  <si>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</si>
  <si>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</si>
  <si>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</si>
  <si>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</si>
  <si>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</si>
  <si>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</si>
  <si>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</si>
  <si>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</si>
  <si>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</si>
  <si>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</si>
  <si>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</si>
  <si>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</si>
  <si>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</si>
  <si>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</si>
  <si>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</si>
  <si>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</si>
  <si>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</si>
  <si>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</si>
  <si>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</si>
  <si>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</si>
  <si>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</si>
  <si>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</si>
  <si>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</si>
  <si>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</si>
  <si>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</si>
  <si>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</si>
  <si>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</si>
  <si>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</si>
  <si>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</si>
  <si>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</si>
  <si>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</si>
  <si>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</si>
  <si>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</si>
  <si>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</si>
  <si>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</si>
  <si>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</si>
  <si>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</si>
  <si>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</si>
  <si>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</si>
  <si>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</si>
  <si>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</si>
  <si>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</si>
  <si>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</si>
  <si>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</si>
  <si>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</si>
  <si>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</si>
  <si>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</si>
  <si>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</si>
  <si>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</si>
  <si>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</si>
  <si>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</si>
  <si>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</si>
  <si>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</si>
  <si>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</si>
  <si>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</si>
  <si>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</si>
  <si>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</si>
  <si>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</si>
  <si>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</si>
  <si>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</si>
  <si>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</si>
  <si>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</si>
  <si>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</si>
  <si>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</si>
  <si>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</si>
  <si>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</si>
  <si>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</si>
  <si>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</si>
  <si>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</si>
  <si>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</si>
  <si>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</si>
  <si>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</si>
  <si>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</si>
  <si>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</si>
  <si>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</si>
  <si>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</si>
  <si>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</si>
  <si>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</si>
  <si>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</si>
  <si>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</si>
  <si>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</si>
  <si>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</si>
  <si>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</si>
  <si>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</si>
  <si>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</si>
  <si>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</si>
  <si>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</si>
  <si>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</si>
  <si>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</si>
  <si>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</si>
  <si>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</si>
  <si>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</si>
  <si>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</si>
  <si>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</si>
  <si>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</si>
  <si>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</si>
  <si>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</si>
  <si>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</si>
  <si>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</si>
  <si>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</si>
  <si>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</si>
  <si>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</si>
  <si>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</si>
  <si>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</si>
  <si>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</si>
  <si>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</si>
  <si>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</si>
  <si>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</si>
  <si>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</si>
  <si>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</si>
  <si>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</si>
  <si>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</si>
  <si>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</si>
  <si>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</si>
  <si>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</si>
  <si>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</si>
  <si>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</si>
  <si>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</si>
  <si>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</si>
  <si>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</si>
  <si>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</si>
  <si>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</si>
  <si>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</si>
  <si>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</si>
  <si>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</si>
  <si>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</si>
  <si>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</si>
  <si>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</si>
  <si>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</si>
  <si>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</si>
  <si>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</si>
  <si>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</si>
  <si>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</si>
  <si>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</si>
  <si>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</si>
  <si>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</si>
  <si>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</si>
  <si>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</si>
  <si>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</si>
  <si>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</si>
  <si>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</si>
  <si>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</si>
  <si>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</si>
  <si>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</si>
  <si>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</si>
  <si>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</si>
  <si>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</si>
  <si>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</si>
  <si>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</si>
  <si>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</si>
  <si>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</si>
  <si>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</si>
  <si>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</si>
  <si>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</si>
  <si>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</si>
  <si>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</si>
  <si>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</si>
  <si>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</si>
  <si>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</si>
  <si>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</si>
  <si>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</si>
  <si>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</si>
  <si>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</si>
  <si>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</si>
  <si>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</si>
  <si>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</si>
  <si>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</si>
  <si>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</si>
  <si>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</si>
  <si>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</si>
  <si>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</si>
  <si>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</si>
  <si>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</si>
  <si>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</si>
  <si>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</si>
  <si>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</si>
  <si>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</si>
  <si>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</si>
  <si>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</si>
  <si>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</si>
  <si>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</si>
  <si>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</si>
  <si>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</si>
  <si>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</si>
  <si>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</si>
  <si>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</si>
  <si>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</si>
  <si>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</si>
  <si>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</si>
  <si>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</si>
  <si>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</si>
  <si>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</si>
  <si>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</si>
  <si>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</si>
  <si>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</si>
  <si>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</si>
  <si>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</si>
  <si>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</si>
  <si>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</si>
  <si>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</si>
  <si>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</si>
  <si>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</si>
  <si>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</si>
  <si>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</si>
  <si>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</si>
  <si>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</si>
  <si>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</si>
  <si>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</si>
  <si>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</si>
  <si>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</si>
  <si>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</si>
  <si>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</si>
  <si>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</si>
  <si>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</si>
  <si>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</si>
  <si>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</si>
  <si>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</si>
  <si>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</si>
  <si>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</si>
  <si>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</si>
  <si>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</si>
  <si>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</si>
  <si>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</si>
  <si>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</si>
  <si>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</si>
  <si>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</si>
  <si>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</si>
  <si>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</si>
  <si>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</si>
  <si>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</si>
  <si>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</si>
  <si>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</si>
  <si>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</si>
  <si>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</si>
  <si>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</si>
  <si>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</si>
  <si>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</si>
  <si>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</si>
  <si>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</si>
  <si>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</si>
  <si>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</si>
  <si>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</si>
  <si>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</si>
  <si>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</si>
  <si>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</si>
  <si>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</si>
  <si>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</si>
  <si>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</si>
  <si>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</si>
  <si>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</si>
  <si>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</si>
  <si>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</si>
  <si>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</si>
  <si>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</si>
  <si>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</si>
  <si>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</si>
  <si>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</si>
  <si>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</si>
  <si>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</si>
  <si>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</si>
  <si>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</si>
  <si>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</si>
  <si>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</si>
  <si>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</si>
  <si>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</si>
  <si>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</si>
  <si>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</si>
  <si>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</si>
  <si>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</si>
  <si>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</si>
  <si>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</si>
  <si>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</si>
  <si>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</si>
  <si>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</si>
  <si>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</si>
  <si>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</si>
  <si>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</si>
  <si>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</si>
  <si>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</si>
  <si>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</si>
  <si>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</si>
  <si>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</si>
  <si>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</si>
  <si>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</si>
  <si>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</si>
  <si>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</si>
  <si>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</si>
  <si>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</si>
  <si>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</si>
  <si>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</si>
  <si>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</si>
  <si>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</si>
  <si>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</si>
  <si>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</si>
  <si>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</si>
  <si>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</si>
  <si>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</si>
  <si>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</si>
  <si>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</si>
  <si>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</si>
  <si>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</si>
  <si>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</si>
  <si>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</si>
  <si>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</si>
  <si>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</si>
  <si>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</si>
  <si>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</si>
  <si>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</si>
  <si>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</si>
  <si>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</si>
  <si>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</si>
  <si>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</si>
  <si>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</si>
  <si>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</si>
  <si>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</si>
  <si>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</si>
  <si>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</si>
  <si>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</si>
  <si>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</si>
  <si>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</si>
  <si>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</si>
  <si>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</si>
  <si>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</si>
  <si>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</si>
  <si>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</si>
  <si>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</si>
  <si>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</si>
  <si>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</si>
  <si>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</si>
  <si>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</si>
  <si>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</si>
  <si>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</si>
  <si>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</si>
  <si>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</si>
  <si>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</si>
  <si>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</si>
  <si>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</si>
  <si>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</si>
  <si>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</si>
  <si>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</si>
  <si>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</si>
  <si>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</si>
  <si>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</si>
  <si>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</si>
  <si>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</si>
  <si>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</si>
  <si>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</si>
  <si>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</si>
  <si>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</si>
  <si>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</si>
  <si>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</si>
  <si>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</si>
  <si>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</si>
  <si>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</si>
  <si>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</si>
  <si>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</si>
  <si>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</si>
  <si>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</si>
  <si>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</si>
  <si>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</si>
  <si>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</si>
  <si>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</si>
  <si>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</si>
  <si>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</si>
  <si>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</si>
  <si>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</si>
  <si>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</si>
  <si>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</si>
  <si>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</si>
  <si>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</si>
  <si>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</si>
  <si>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</si>
  <si>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</si>
  <si>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</si>
  <si>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</si>
  <si>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</si>
  <si>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</si>
  <si>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</si>
  <si>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</si>
  <si>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</si>
  <si>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</si>
  <si>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</si>
  <si>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</si>
  <si>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</si>
  <si>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</si>
  <si>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</si>
  <si>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</si>
  <si>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</si>
  <si>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</si>
  <si>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</si>
  <si>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</si>
  <si>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</si>
  <si>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</si>
  <si>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</si>
  <si>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</si>
  <si>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</si>
  <si>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</si>
  <si>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</si>
  <si>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</si>
  <si>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</si>
  <si>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</si>
  <si>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</si>
  <si>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</si>
  <si>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</si>
  <si>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</si>
  <si>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</si>
  <si>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</si>
  <si>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</si>
  <si>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</si>
  <si>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</si>
  <si>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</si>
  <si>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</si>
  <si>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</si>
  <si>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</si>
  <si>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</si>
  <si>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</si>
  <si>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</si>
  <si>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</si>
  <si>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</si>
  <si>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</si>
  <si>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</si>
  <si>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</si>
  <si>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</si>
  <si>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</si>
  <si>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</si>
  <si>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</si>
  <si>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</si>
  <si>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</si>
  <si>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</si>
  <si>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</si>
  <si>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</si>
  <si>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</si>
  <si>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</si>
  <si>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</si>
  <si>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</si>
  <si>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</si>
  <si>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</si>
  <si>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</si>
  <si>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</si>
  <si>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</si>
  <si>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</si>
  <si>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</si>
  <si>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</si>
  <si>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</si>
  <si>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</si>
  <si>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</si>
  <si>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</si>
  <si>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</si>
  <si>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</si>
  <si>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</si>
  <si>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</si>
  <si>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</si>
  <si>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</si>
  <si>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</si>
  <si>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</si>
  <si>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</si>
  <si>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</si>
  <si>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</si>
  <si>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</si>
  <si>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</si>
  <si>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</si>
  <si>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</si>
  <si>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</si>
  <si>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</si>
  <si>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</si>
  <si>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</si>
  <si>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</si>
  <si>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</si>
  <si>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</si>
  <si>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</si>
  <si>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</si>
  <si>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</si>
  <si>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</si>
  <si>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</si>
  <si>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</si>
  <si>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</si>
  <si>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</si>
  <si>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</si>
  <si>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</si>
  <si>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</si>
  <si>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</si>
  <si>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</si>
  <si>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</si>
  <si>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</si>
  <si>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</si>
  <si>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</si>
  <si>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</si>
  <si>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</si>
  <si>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</si>
  <si>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</si>
  <si>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</si>
  <si>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</si>
  <si>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</si>
  <si>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</si>
  <si>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</si>
  <si>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</si>
  <si>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</si>
  <si>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</si>
  <si>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</si>
  <si>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</si>
  <si>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</si>
  <si>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</si>
  <si>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</si>
  <si>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</si>
  <si>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</si>
  <si>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</si>
  <si>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</si>
  <si>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</si>
  <si>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</si>
  <si>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</si>
  <si>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</si>
  <si>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</si>
  <si>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</si>
  <si>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</si>
  <si>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</si>
  <si>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</si>
  <si>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</si>
  <si>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</si>
  <si>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</si>
  <si>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</si>
  <si>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</si>
  <si>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</si>
  <si>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</si>
  <si>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</si>
  <si>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</si>
  <si>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</si>
  <si>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</si>
  <si>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</si>
  <si>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</si>
  <si>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</si>
  <si>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</si>
  <si>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</si>
  <si>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</si>
  <si>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</si>
  <si>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</si>
  <si>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</si>
  <si>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</si>
  <si>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</si>
  <si>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</si>
  <si>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</si>
  <si>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</si>
  <si>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</si>
  <si>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</si>
  <si>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</si>
  <si>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</si>
  <si>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</si>
  <si>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</si>
  <si>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</si>
  <si>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</si>
  <si>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</si>
  <si>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</si>
  <si>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</si>
  <si>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</si>
  <si>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</si>
  <si>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</si>
  <si>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</si>
  <si>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</si>
  <si>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</si>
  <si>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</si>
  <si>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</si>
  <si>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</si>
  <si>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</si>
  <si>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</si>
  <si>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</si>
  <si>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</si>
  <si>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</si>
  <si>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</si>
  <si>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</si>
  <si>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</si>
  <si>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</si>
  <si>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</si>
  <si>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</si>
  <si>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</si>
  <si>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</si>
  <si>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</si>
  <si>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</si>
  <si>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</si>
  <si>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</si>
  <si>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</si>
  <si>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</si>
  <si>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</si>
  <si>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</si>
  <si>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</si>
  <si>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</si>
  <si>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</si>
  <si>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</si>
  <si>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</si>
  <si>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</si>
  <si>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</si>
  <si>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</si>
  <si>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</si>
  <si>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</si>
  <si>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</si>
  <si>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</si>
  <si>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</si>
  <si>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</si>
  <si>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</si>
  <si>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</si>
  <si>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</si>
  <si>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</si>
  <si>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</si>
  <si>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</si>
  <si>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</si>
  <si>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</si>
  <si>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</si>
  <si>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</si>
  <si>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</si>
  <si>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</si>
  <si>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</si>
  <si>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</si>
  <si>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</si>
  <si>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</si>
  <si>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</si>
  <si>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</si>
  <si>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</si>
  <si>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</si>
  <si>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</si>
  <si>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</si>
  <si>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</si>
  <si>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</si>
  <si>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</si>
  <si>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</si>
  <si>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</si>
  <si>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</si>
  <si>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</si>
  <si>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</si>
  <si>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</si>
  <si>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</si>
  <si>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</si>
  <si>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</si>
  <si>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</si>
  <si>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</si>
  <si>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</si>
  <si>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</si>
  <si>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</si>
  <si>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</si>
  <si>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</si>
  <si>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</si>
  <si>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</si>
  <si>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</si>
  <si>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</si>
  <si>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</si>
  <si>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</si>
  <si>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</si>
  <si>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</si>
  <si>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</si>
  <si>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</si>
  <si>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</si>
  <si>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</si>
  <si>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</si>
  <si>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</si>
  <si>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</si>
  <si>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</si>
  <si>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</si>
  <si>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</si>
  <si>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</si>
  <si>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</si>
  <si>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</si>
  <si>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</si>
  <si>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</si>
  <si>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</si>
  <si>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</si>
  <si>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</si>
  <si>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</si>
  <si>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</si>
  <si>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</si>
  <si>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</si>
  <si>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</si>
  <si>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</si>
  <si>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</si>
  <si>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</si>
  <si>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</si>
  <si>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</si>
  <si>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</si>
  <si>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</si>
  <si>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</si>
  <si>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</si>
  <si>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</si>
  <si>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</si>
  <si>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</si>
  <si>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</si>
  <si>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</si>
  <si>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</si>
  <si>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</si>
  <si>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</si>
  <si>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</si>
  <si>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</si>
  <si>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</si>
  <si>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</si>
  <si>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</si>
  <si>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</si>
  <si>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</si>
  <si>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</si>
  <si>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</si>
  <si>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</si>
  <si>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</si>
  <si>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</si>
  <si>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</si>
  <si>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</si>
  <si>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</si>
  <si>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</si>
  <si>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</si>
  <si>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</si>
  <si>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</si>
  <si>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</si>
  <si>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</si>
  <si>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</si>
  <si>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</si>
  <si>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</si>
  <si>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</si>
  <si>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</si>
  <si>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</si>
  <si>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</si>
  <si>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</si>
  <si>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</si>
  <si>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</si>
  <si>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</si>
  <si>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</si>
  <si>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</si>
  <si>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</si>
  <si>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</si>
  <si>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</si>
  <si>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</si>
  <si>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</si>
  <si>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</si>
  <si>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</si>
  <si>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</si>
  <si>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</si>
  <si>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</si>
  <si>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</si>
  <si>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</si>
  <si>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</si>
  <si>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</si>
  <si>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</si>
  <si>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</si>
  <si>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</si>
  <si>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</si>
  <si>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</si>
  <si>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</si>
  <si>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</si>
  <si>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</si>
  <si>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</si>
  <si>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</si>
  <si>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</si>
  <si>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</si>
  <si>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</si>
  <si>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</si>
  <si>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</si>
  <si>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</si>
  <si>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</si>
  <si>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</si>
  <si>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</si>
  <si>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</si>
  <si>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</si>
  <si>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</si>
  <si>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</si>
  <si>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</si>
  <si>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</si>
  <si>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</si>
  <si>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</si>
  <si>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</si>
  <si>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</si>
  <si>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</si>
  <si>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</si>
  <si>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</si>
  <si>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</si>
  <si>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</si>
  <si>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</si>
  <si>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</si>
  <si>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</si>
  <si>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</si>
  <si>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</si>
  <si>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</si>
  <si>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</si>
  <si>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</si>
  <si>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</si>
  <si>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</si>
  <si>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</si>
  <si>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</si>
  <si>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</si>
  <si>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</si>
  <si>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</si>
  <si>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</si>
  <si>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</si>
  <si>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</si>
  <si>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</si>
  <si>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</si>
  <si>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</si>
  <si>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</si>
  <si>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</si>
  <si>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</si>
  <si>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</si>
  <si>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</si>
  <si>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</si>
  <si>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</si>
  <si>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</si>
  <si>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</si>
  <si>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</si>
  <si>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</si>
  <si>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</si>
  <si>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</si>
  <si>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</si>
  <si>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</si>
  <si>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</si>
  <si>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</si>
  <si>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</si>
  <si>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</si>
  <si>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</si>
  <si>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</si>
  <si>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</si>
  <si>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</si>
  <si>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</si>
  <si>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</si>
  <si>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</si>
  <si>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</si>
  <si>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</si>
  <si>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</si>
  <si>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</si>
  <si>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</si>
  <si>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</si>
  <si>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</si>
  <si>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</si>
  <si>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</si>
  <si>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</si>
  <si>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</si>
  <si>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</si>
  <si>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</si>
  <si>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</si>
  <si>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</si>
  <si>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</si>
  <si>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</si>
  <si>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</si>
  <si>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</si>
  <si>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</si>
  <si>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</si>
  <si>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</si>
  <si>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</si>
  <si>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</si>
  <si>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</si>
  <si>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</si>
  <si>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</si>
  <si>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</si>
  <si>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</si>
  <si>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</si>
  <si>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</si>
  <si>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</si>
  <si>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</si>
  <si>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</si>
  <si>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</si>
  <si>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</si>
  <si>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</si>
  <si>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</si>
  <si>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</si>
  <si>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</si>
  <si>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</si>
  <si>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</si>
  <si>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</si>
  <si>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</si>
  <si>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</si>
  <si>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</si>
  <si>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</si>
  <si>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</si>
  <si>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</si>
  <si>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</si>
  <si>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</si>
  <si>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</si>
  <si>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</si>
  <si>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</si>
  <si>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</si>
  <si>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</si>
  <si>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</si>
  <si>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</si>
  <si>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</si>
  <si>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</si>
  <si>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</si>
  <si>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</si>
  <si>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</si>
  <si>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</si>
  <si>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</si>
  <si>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</si>
  <si>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</si>
  <si>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</si>
  <si>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</si>
  <si>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</si>
  <si>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</si>
  <si>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</si>
  <si>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</si>
  <si>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</si>
  <si>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</si>
  <si>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</si>
  <si>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</si>
  <si>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</si>
  <si>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</si>
  <si>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</si>
  <si>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</si>
  <si>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</si>
  <si>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</si>
  <si>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</si>
  <si>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</si>
  <si>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</si>
  <si>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</si>
  <si>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</si>
  <si>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</si>
  <si>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</si>
  <si>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</si>
  <si>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</si>
  <si>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</si>
  <si>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</si>
  <si>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</si>
  <si>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</si>
  <si>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</si>
  <si>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</si>
  <si>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</si>
  <si>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</si>
  <si>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</si>
  <si>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</si>
  <si>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</si>
  <si>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</si>
  <si>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</si>
  <si>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</si>
  <si>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</si>
  <si>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</si>
  <si>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</si>
  <si>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</si>
  <si>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</si>
  <si>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</si>
  <si>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</si>
  <si>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</si>
  <si>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</si>
  <si>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</si>
  <si>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</si>
  <si>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</si>
  <si>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</si>
  <si>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</si>
  <si>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</si>
  <si>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</si>
  <si>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</si>
  <si>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</si>
  <si>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</si>
  <si>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</si>
  <si>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</si>
  <si>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</si>
  <si>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</si>
  <si>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</si>
  <si>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</si>
  <si>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</si>
  <si>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</si>
  <si>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</si>
  <si>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</si>
  <si>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</si>
  <si>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</si>
  <si>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</si>
  <si>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</si>
  <si>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</si>
  <si>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</si>
  <si>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</si>
  <si>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</si>
  <si>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</si>
  <si>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</si>
  <si>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</si>
  <si>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</si>
  <si>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</si>
  <si>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</si>
  <si>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</si>
  <si>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</si>
  <si>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</si>
  <si>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</si>
  <si>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</si>
  <si>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</si>
  <si>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</si>
  <si>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</si>
  <si>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</si>
  <si>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</si>
  <si>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</si>
  <si>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</si>
  <si>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</si>
  <si>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</si>
  <si>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</si>
  <si>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</si>
  <si>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</si>
  <si>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</si>
  <si>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</si>
  <si>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</si>
  <si>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</si>
  <si>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</si>
  <si>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</si>
  <si>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</si>
  <si>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</si>
  <si>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</si>
  <si>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</si>
  <si>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</si>
  <si>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</si>
  <si>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</si>
  <si>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</si>
  <si>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</si>
  <si>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</si>
  <si>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</si>
  <si>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</si>
  <si>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</si>
  <si>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</si>
  <si>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</si>
  <si>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</si>
  <si>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</si>
  <si>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</si>
  <si>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</si>
  <si>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</si>
  <si>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</si>
  <si>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</si>
  <si>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</si>
  <si>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</si>
  <si>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</si>
  <si>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</si>
  <si>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</si>
  <si>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</si>
  <si>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</si>
  <si>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</si>
  <si>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</si>
  <si>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</si>
  <si>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</si>
  <si>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</si>
  <si>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</si>
  <si>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</si>
  <si>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</si>
  <si>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</si>
  <si>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</si>
  <si>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</si>
  <si>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</si>
  <si>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</si>
  <si>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</si>
  <si>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</si>
  <si>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</si>
  <si>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</si>
  <si>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</si>
  <si>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</si>
  <si>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</si>
  <si>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</si>
  <si>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</si>
  <si>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</si>
  <si>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</si>
  <si>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</si>
  <si>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</si>
  <si>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</si>
  <si>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</si>
  <si>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</si>
  <si>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</si>
  <si>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</si>
  <si>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</si>
  <si>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</si>
  <si>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</si>
  <si>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</si>
  <si>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</si>
  <si>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</si>
  <si>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</si>
  <si>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</si>
  <si>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</si>
  <si>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</si>
  <si>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</si>
  <si>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</si>
  <si>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</si>
  <si>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</si>
  <si>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</si>
  <si>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</si>
  <si>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</si>
  <si>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</si>
  <si>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</si>
  <si>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</si>
  <si>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</si>
  <si>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</si>
  <si>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</si>
  <si>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</si>
  <si>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</si>
  <si>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</si>
  <si>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</si>
  <si>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</si>
  <si>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</si>
  <si>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</si>
  <si>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</si>
  <si>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</si>
  <si>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</si>
  <si>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</si>
  <si>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</si>
  <si>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</si>
  <si>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</si>
  <si>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</si>
  <si>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</si>
  <si>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</si>
  <si>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</si>
  <si>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</si>
  <si>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</si>
  <si>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</si>
  <si>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</si>
  <si>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</si>
  <si>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</si>
  <si>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</si>
  <si>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</si>
  <si>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</si>
  <si>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</si>
  <si>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</si>
  <si>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</si>
  <si>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</si>
  <si>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</si>
  <si>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</si>
  <si>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</si>
  <si>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</si>
  <si>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</si>
  <si>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</si>
  <si>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</si>
  <si>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</si>
  <si>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</si>
  <si>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</si>
  <si>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</si>
  <si>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</si>
  <si>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</si>
  <si>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</si>
  <si>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</si>
  <si>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</si>
  <si>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</si>
  <si>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</si>
  <si>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</si>
  <si>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</si>
  <si>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</si>
  <si>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</si>
  <si>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</si>
  <si>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</si>
  <si>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</si>
  <si>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</si>
  <si>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</si>
  <si>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</si>
  <si>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</si>
  <si>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</si>
  <si>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</si>
  <si>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</si>
  <si>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</si>
  <si>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</si>
  <si>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</si>
  <si>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</si>
  <si>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</si>
  <si>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</si>
  <si>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</si>
  <si>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</si>
  <si>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</si>
  <si>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</si>
  <si>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</si>
  <si>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</si>
  <si>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</si>
  <si>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</si>
  <si>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</si>
  <si>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</si>
  <si>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</si>
  <si>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</si>
  <si>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</si>
  <si>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</si>
  <si>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</si>
  <si>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</si>
  <si>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</si>
  <si>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</si>
  <si>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</si>
  <si>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</si>
  <si>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</si>
  <si>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</si>
  <si>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</si>
  <si>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</si>
  <si>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</si>
  <si>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</si>
  <si>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</si>
  <si>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</si>
  <si>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</si>
  <si>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</si>
  <si>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</si>
  <si>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</si>
  <si>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</si>
  <si>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</si>
  <si>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</si>
  <si>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</si>
  <si>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</si>
  <si>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</si>
  <si>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</si>
  <si>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</si>
  <si>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</si>
  <si>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</si>
  <si>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</si>
  <si>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</si>
  <si>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</si>
  <si>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</si>
  <si>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</si>
  <si>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</si>
  <si>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</si>
  <si>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</si>
  <si>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</si>
  <si>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</si>
  <si>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</si>
  <si>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</si>
  <si>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</si>
  <si>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</si>
  <si>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</si>
  <si>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</si>
  <si>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</si>
  <si>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</si>
  <si>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</si>
  <si>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</si>
  <si>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</si>
  <si>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</si>
  <si>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</si>
  <si>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</si>
  <si>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</si>
  <si>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</si>
  <si>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</si>
  <si>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</si>
  <si>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</si>
  <si>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</si>
  <si>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</si>
  <si>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</si>
  <si>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</si>
  <si>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</si>
  <si>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</si>
  <si>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</si>
  <si>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</si>
  <si>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</si>
  <si>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</si>
  <si>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</si>
  <si>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</si>
  <si>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</si>
  <si>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</si>
  <si>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</si>
  <si>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</si>
  <si>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</si>
  <si>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</si>
  <si>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</si>
  <si>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</si>
  <si>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</si>
  <si>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</si>
  <si>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</si>
  <si>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</si>
  <si>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</si>
  <si>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</si>
  <si>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</si>
  <si>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</si>
  <si>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</si>
  <si>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</si>
  <si>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</si>
  <si>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</si>
  <si>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</si>
  <si>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</si>
  <si>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</si>
  <si>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</si>
  <si>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</si>
  <si>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</si>
  <si>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</si>
  <si>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</si>
  <si>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</si>
  <si>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</si>
  <si>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</si>
  <si>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</si>
  <si>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</si>
  <si>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</si>
  <si>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</si>
  <si>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</si>
  <si>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</si>
  <si>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</si>
  <si>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</si>
  <si>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</si>
  <si>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</si>
  <si>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</si>
  <si>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</si>
  <si>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</si>
  <si>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</si>
  <si>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</si>
  <si>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</si>
  <si>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</si>
  <si>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</si>
  <si>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</si>
  <si>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</si>
  <si>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</si>
  <si>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</si>
  <si>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</si>
  <si>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</si>
  <si>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</si>
  <si>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</si>
  <si>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</si>
  <si>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</si>
  <si>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</si>
  <si>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</si>
  <si>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</si>
  <si>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</si>
  <si>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</si>
  <si>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</si>
  <si>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</si>
  <si>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</si>
  <si>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</si>
  <si>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</si>
  <si>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</si>
  <si>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</si>
  <si>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</si>
  <si>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</si>
  <si>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</si>
  <si>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</si>
  <si>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</si>
  <si>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</si>
  <si>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</si>
  <si>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</si>
  <si>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</si>
  <si>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</si>
  <si>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</si>
  <si>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</si>
  <si>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</si>
  <si>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</si>
  <si>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</si>
  <si>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</si>
  <si>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</si>
  <si>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</si>
  <si>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</si>
  <si>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</si>
  <si>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</si>
  <si>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</si>
  <si>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</si>
  <si>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</si>
  <si>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</si>
  <si>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</si>
  <si>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</si>
  <si>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</si>
  <si>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</si>
  <si>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</si>
  <si>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</si>
  <si>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</si>
  <si>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</si>
  <si>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</si>
  <si>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</si>
  <si>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</si>
  <si>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</si>
  <si>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</si>
  <si>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</si>
  <si>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</si>
  <si>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</si>
  <si>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</si>
  <si>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</si>
  <si>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</si>
  <si>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</si>
  <si>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</si>
  <si>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</si>
  <si>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</si>
  <si>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</si>
  <si>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</si>
  <si>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</si>
  <si>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</si>
  <si>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</si>
  <si>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</si>
  <si>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</si>
  <si>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</si>
  <si>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</si>
  <si>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</si>
  <si>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</si>
  <si>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</si>
  <si>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</si>
  <si>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</si>
  <si>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</si>
  <si>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</si>
  <si>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</si>
  <si>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</si>
  <si>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</si>
  <si>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</si>
  <si>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</si>
  <si>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</si>
  <si>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</si>
  <si>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</si>
  <si>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</si>
  <si>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</si>
  <si>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</si>
  <si>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</si>
  <si>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</si>
  <si>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</si>
  <si>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</si>
  <si>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</si>
  <si>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</si>
  <si>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</si>
  <si>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</si>
  <si>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</si>
  <si>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</si>
  <si>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</si>
  <si>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</si>
  <si>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</si>
  <si>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</si>
  <si>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</si>
  <si>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</si>
  <si>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</si>
  <si>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</si>
  <si>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</si>
  <si>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</si>
  <si>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</si>
  <si>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</si>
  <si>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</si>
  <si>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</si>
  <si>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</si>
  <si>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</si>
  <si>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</si>
  <si>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</si>
  <si>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</si>
  <si>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</si>
  <si>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</si>
  <si>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</si>
  <si>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</si>
  <si>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</si>
  <si>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</si>
  <si>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</si>
  <si>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</si>
  <si>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</si>
  <si>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</si>
  <si>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</si>
  <si>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</si>
  <si>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</si>
  <si>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</si>
  <si>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</si>
  <si>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</si>
  <si>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</si>
  <si>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</si>
  <si>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</si>
  <si>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</si>
  <si>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</si>
  <si>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</si>
  <si>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</si>
  <si>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</si>
  <si>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</si>
  <si>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</si>
  <si>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</si>
  <si>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</si>
  <si>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</si>
  <si>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</si>
  <si>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</si>
  <si>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</si>
  <si>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</si>
  <si>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</si>
  <si>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</si>
  <si>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</si>
  <si>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</si>
  <si>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</si>
  <si>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</si>
  <si>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</si>
  <si>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</si>
  <si>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</si>
  <si>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</si>
  <si>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</si>
  <si>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</si>
  <si>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</si>
  <si>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</si>
  <si>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</si>
  <si>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</si>
  <si>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</si>
  <si>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</si>
  <si>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</si>
  <si>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</si>
  <si>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</si>
  <si>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</si>
  <si>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</si>
  <si>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</si>
  <si>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</si>
  <si>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</si>
  <si>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</si>
  <si>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</si>
  <si>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</si>
  <si>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</si>
  <si>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</si>
  <si>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</si>
  <si>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</si>
  <si>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</si>
  <si>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</si>
  <si>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</si>
  <si>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</si>
  <si>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</si>
  <si>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</si>
  <si>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</si>
  <si>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</si>
  <si>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</si>
  <si>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</si>
  <si>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</si>
  <si>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</si>
  <si>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</si>
  <si>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</si>
  <si>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</si>
  <si>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</si>
  <si>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</si>
  <si>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</si>
  <si>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</si>
  <si>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</si>
  <si>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</si>
  <si>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</si>
  <si>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</si>
  <si>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</si>
  <si>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</si>
  <si>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</si>
  <si>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</si>
  <si>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</si>
  <si>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</si>
  <si>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</si>
  <si>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</si>
  <si>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</si>
  <si>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</si>
  <si>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</si>
  <si>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</si>
  <si>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</si>
  <si>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</si>
  <si>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</si>
  <si>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</si>
  <si>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</si>
  <si>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</si>
  <si>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</si>
  <si>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</si>
  <si>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</si>
  <si>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</si>
  <si>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</si>
  <si>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</si>
  <si>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</si>
  <si>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</si>
  <si>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</si>
  <si>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</si>
  <si>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</si>
  <si>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</si>
  <si>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</si>
  <si>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</si>
  <si>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</si>
  <si>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</si>
  <si>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</si>
  <si>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</si>
  <si>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</si>
  <si>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</si>
  <si>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</si>
  <si>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</si>
  <si>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</si>
  <si>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</si>
  <si>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</si>
  <si>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</si>
  <si>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</si>
  <si>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</si>
  <si>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</si>
  <si>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</si>
  <si>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</si>
  <si>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</si>
  <si>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</si>
  <si>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</si>
  <si>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</si>
  <si>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</si>
  <si>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</si>
  <si>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</si>
  <si>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</si>
  <si>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</si>
  <si>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</si>
  <si>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</si>
  <si>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</si>
  <si>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</si>
  <si>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</si>
  <si>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</si>
  <si>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</si>
  <si>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</si>
  <si>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</si>
  <si>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</si>
  <si>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</si>
  <si>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</si>
  <si>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</si>
  <si>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</si>
  <si>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</si>
  <si>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</si>
  <si>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</si>
  <si>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</si>
  <si>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</si>
  <si>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</si>
  <si>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</si>
  <si>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</si>
  <si>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</si>
  <si>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</si>
  <si>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</si>
  <si>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</si>
  <si>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</si>
  <si>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</si>
  <si>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</si>
  <si>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</si>
  <si>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</si>
  <si>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</si>
  <si>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</si>
  <si>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</si>
  <si>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</si>
  <si>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</si>
  <si>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</si>
  <si>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</si>
  <si>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</si>
  <si>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</si>
  <si>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</si>
  <si>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</si>
  <si>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</si>
  <si>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</si>
  <si>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</si>
  <si>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</si>
  <si>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</si>
  <si>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</si>
  <si>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</si>
  <si>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</si>
  <si>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</si>
  <si>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</si>
  <si>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</si>
  <si>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</si>
  <si>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</si>
  <si>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</si>
  <si>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</si>
  <si>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</si>
  <si>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</si>
  <si>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</si>
  <si>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</si>
  <si>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</si>
  <si>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</si>
  <si>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</si>
  <si>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</si>
  <si>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</si>
  <si>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</si>
  <si>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</si>
  <si>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</si>
  <si>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</si>
  <si>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</si>
  <si>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</si>
  <si>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</si>
  <si>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</si>
  <si>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</si>
  <si>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</si>
  <si>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</si>
  <si>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</si>
  <si>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</si>
  <si>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</si>
  <si>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</si>
  <si>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</si>
  <si>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</si>
  <si>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</si>
  <si>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</si>
  <si>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</si>
  <si>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</si>
  <si>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</si>
  <si>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</si>
  <si>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</si>
  <si>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</si>
  <si>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</si>
  <si>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</si>
  <si>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</si>
  <si>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</si>
  <si>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</si>
  <si>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</si>
  <si>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</si>
  <si>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</si>
  <si>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</si>
  <si>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</si>
  <si>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</si>
  <si>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</si>
  <si>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</si>
  <si>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</si>
  <si>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</si>
  <si>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</si>
  <si>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</si>
  <si>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</si>
  <si>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</si>
  <si>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</si>
  <si>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</si>
  <si>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</si>
  <si>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</si>
  <si>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</si>
  <si>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</si>
  <si>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</si>
  <si>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</si>
  <si>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</si>
  <si>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</si>
  <si>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</si>
  <si>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</si>
  <si>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</si>
  <si>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</si>
  <si>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</si>
  <si>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</si>
  <si>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</si>
  <si>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</si>
  <si>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</si>
  <si>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</si>
  <si>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</si>
  <si>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</si>
  <si>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</si>
  <si>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</si>
  <si>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</si>
  <si>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</si>
  <si>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</si>
  <si>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</si>
  <si>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</si>
  <si>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</si>
  <si>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</si>
  <si>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</si>
  <si>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</si>
  <si>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</si>
  <si>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</si>
  <si>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</si>
  <si>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</si>
  <si>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</si>
  <si>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</si>
  <si>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</si>
  <si>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</si>
  <si>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</si>
  <si>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</si>
  <si>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</si>
  <si>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</si>
  <si>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</si>
  <si>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</si>
  <si>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</si>
  <si>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</si>
  <si>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</si>
  <si>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</si>
  <si>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</si>
  <si>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</si>
  <si>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</si>
  <si>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</si>
  <si>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</si>
  <si>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</si>
  <si>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</si>
  <si>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</si>
  <si>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</si>
  <si>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</si>
  <si>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</si>
  <si>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</si>
  <si>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</si>
  <si>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</si>
  <si>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</si>
  <si>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</si>
  <si>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</si>
  <si>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</si>
  <si>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</si>
  <si>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</si>
  <si>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</si>
  <si>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</si>
  <si>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</si>
  <si>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</si>
  <si>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</si>
  <si>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</si>
  <si>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</si>
  <si>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</si>
  <si>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</si>
  <si>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</si>
  <si>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</si>
  <si>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</si>
  <si>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</si>
  <si>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</si>
  <si>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</si>
  <si>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</si>
  <si>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</si>
  <si>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</si>
  <si>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</si>
  <si>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</si>
  <si>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</si>
  <si>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</si>
  <si>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</si>
  <si>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</si>
  <si>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</si>
  <si>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</si>
  <si>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</si>
  <si>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</si>
  <si>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</si>
  <si>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</si>
  <si>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</si>
  <si>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</si>
  <si>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</si>
  <si>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</si>
  <si>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</si>
  <si>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</si>
  <si>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</si>
  <si>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</si>
  <si>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</si>
  <si>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</si>
  <si>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</si>
  <si>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</si>
  <si>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</si>
  <si>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</si>
  <si>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</si>
  <si>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</si>
  <si>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</si>
  <si>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</si>
  <si>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</si>
  <si>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</si>
  <si>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</si>
  <si>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</si>
  <si>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</si>
  <si>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</si>
  <si>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</si>
  <si>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</si>
  <si>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</si>
  <si>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</si>
  <si>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</si>
  <si>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</si>
  <si>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</si>
  <si>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</si>
  <si>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</si>
  <si>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</si>
  <si>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</si>
  <si>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</si>
  <si>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</si>
  <si>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</si>
  <si>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</si>
  <si>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</si>
  <si>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</si>
  <si>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</si>
  <si>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</si>
  <si>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</si>
  <si>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</si>
  <si>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</si>
  <si>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</si>
  <si>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</si>
  <si>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</si>
  <si>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</si>
  <si>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</si>
  <si>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</si>
  <si>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</si>
  <si>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</si>
  <si>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</si>
  <si>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</si>
  <si>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</si>
  <si>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</si>
  <si>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</si>
  <si>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</si>
  <si>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</si>
  <si>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</si>
  <si>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</si>
  <si>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</si>
  <si>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</si>
  <si>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</si>
  <si>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</si>
  <si>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</si>
  <si>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</si>
  <si>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</si>
  <si>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</si>
  <si>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</si>
  <si>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</si>
  <si>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</si>
  <si>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</si>
  <si>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</si>
  <si>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</si>
  <si>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</si>
  <si>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</si>
  <si>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</si>
  <si>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</si>
  <si>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</si>
  <si>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</si>
  <si>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</si>
  <si>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</si>
  <si>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</si>
  <si>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</si>
  <si>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</si>
  <si>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</si>
  <si>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</si>
  <si>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</si>
  <si>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</si>
  <si>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</si>
  <si>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</si>
  <si>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</si>
  <si>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</si>
  <si>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</si>
  <si>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</si>
  <si>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</si>
  <si>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</si>
  <si>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</si>
  <si>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</si>
  <si>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</si>
  <si>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</si>
  <si>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</si>
  <si>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</si>
  <si>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</si>
  <si>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</si>
  <si>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</si>
  <si>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</si>
  <si>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</si>
  <si>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</si>
  <si>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</si>
  <si>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</si>
  <si>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</si>
  <si>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</si>
  <si>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</si>
  <si>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</si>
  <si>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</si>
  <si>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</si>
  <si>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</si>
  <si>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</si>
  <si>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</si>
  <si>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</si>
  <si>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</si>
  <si>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</si>
  <si>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</si>
  <si>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</si>
  <si>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</si>
  <si>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</si>
  <si>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</si>
  <si>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</si>
  <si>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</si>
  <si>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</si>
  <si>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</si>
  <si>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</si>
  <si>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</si>
  <si>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</si>
  <si>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</si>
  <si>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</si>
  <si>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</si>
  <si>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</si>
  <si>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</si>
  <si>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</si>
  <si>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</si>
  <si>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</si>
  <si>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</si>
  <si>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</si>
  <si>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</si>
  <si>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</si>
  <si>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</si>
  <si>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</si>
  <si>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</si>
  <si>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</si>
  <si>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</si>
  <si>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</si>
  <si>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</si>
  <si>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</si>
  <si>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</si>
  <si>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</si>
  <si>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</si>
  <si>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</si>
  <si>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</si>
  <si>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</si>
  <si>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</si>
  <si>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</si>
  <si>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</si>
  <si>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</si>
  <si>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</si>
  <si>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</si>
  <si>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</si>
  <si>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</si>
  <si>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</si>
  <si>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</si>
  <si>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</si>
  <si>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</si>
  <si>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</si>
  <si>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</si>
  <si>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</si>
  <si>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</si>
  <si>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</si>
  <si>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</si>
  <si>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</si>
  <si>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</si>
  <si>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</si>
  <si>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</si>
  <si>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</si>
  <si>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</si>
  <si>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</si>
  <si>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</si>
  <si>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</si>
  <si>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</si>
  <si>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</si>
  <si>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</si>
  <si>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</si>
  <si>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</si>
  <si>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</si>
  <si>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</si>
  <si>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</si>
  <si>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</si>
  <si>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</si>
  <si>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</si>
  <si>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</si>
  <si>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</si>
  <si>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</si>
  <si>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</si>
  <si>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</si>
  <si>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</si>
  <si>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</si>
  <si>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</si>
  <si>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</si>
  <si>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</si>
  <si>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</si>
  <si>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</si>
  <si>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</si>
  <si>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</si>
  <si>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</si>
  <si>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</si>
  <si>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</si>
  <si>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</si>
  <si>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</si>
  <si>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</si>
  <si>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</si>
  <si>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</si>
  <si>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</si>
  <si>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</si>
  <si>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</si>
  <si>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</si>
  <si>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</si>
  <si>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</si>
  <si>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</si>
  <si>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</si>
  <si>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</si>
  <si>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</si>
  <si>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</si>
  <si>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</si>
  <si>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</si>
  <si>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</si>
  <si>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</si>
  <si>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</si>
  <si>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</si>
  <si>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</si>
  <si>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</si>
  <si>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</si>
  <si>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</si>
  <si>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</si>
  <si>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</si>
  <si>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</si>
  <si>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</si>
  <si>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</si>
  <si>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</si>
  <si>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</si>
  <si>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</si>
  <si>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</si>
  <si>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</si>
  <si>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</si>
  <si>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</si>
  <si>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</si>
  <si>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</si>
  <si>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</si>
  <si>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</si>
  <si>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</si>
  <si>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</si>
  <si>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</si>
  <si>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</si>
  <si>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</si>
  <si>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</si>
  <si>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</si>
  <si>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</si>
  <si>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</si>
  <si>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</si>
  <si>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</si>
  <si>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</si>
  <si>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</si>
  <si>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</si>
  <si>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</si>
  <si>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</si>
  <si>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</si>
  <si>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</si>
  <si>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</si>
  <si>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</si>
  <si>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</si>
  <si>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</si>
  <si>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</si>
  <si>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</si>
  <si>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</si>
  <si>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</si>
  <si>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</si>
  <si>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</si>
  <si>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</si>
  <si>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</si>
  <si>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</si>
  <si>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</si>
  <si>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</si>
  <si>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</si>
  <si>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</si>
  <si>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</si>
  <si>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</si>
  <si>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</si>
  <si>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</si>
  <si>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</si>
  <si>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</si>
  <si>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</si>
  <si>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</si>
  <si>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</si>
  <si>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</si>
  <si>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</si>
  <si>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</si>
  <si>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</si>
  <si>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</si>
  <si>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</si>
  <si>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</si>
  <si>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</si>
  <si>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</si>
  <si>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</si>
  <si>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</si>
  <si>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</si>
  <si>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</si>
  <si>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</si>
  <si>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</si>
  <si>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</si>
  <si>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</si>
  <si>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</si>
  <si>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</si>
  <si>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</si>
  <si>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</si>
  <si>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</si>
  <si>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</si>
  <si>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</si>
  <si>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</si>
  <si>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</si>
  <si>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</si>
  <si>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</si>
  <si>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</si>
  <si>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</si>
  <si>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</si>
  <si>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</si>
  <si>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</si>
  <si>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</si>
  <si>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</si>
  <si>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</si>
  <si>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</si>
  <si>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</si>
  <si>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</si>
  <si>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</si>
  <si>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</si>
  <si>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</si>
  <si>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</si>
  <si>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</si>
  <si>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</si>
  <si>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</si>
  <si>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</si>
  <si>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</si>
  <si>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</si>
  <si>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</si>
  <si>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</si>
  <si>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</si>
  <si>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</si>
  <si>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</si>
  <si>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</si>
  <si>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</si>
  <si>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</si>
  <si>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</si>
  <si>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</si>
  <si>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</si>
  <si>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</si>
  <si>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</si>
  <si>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</si>
  <si>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</si>
  <si>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</si>
  <si>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</si>
  <si>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</si>
  <si>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</si>
  <si>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</si>
  <si>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</si>
  <si>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</si>
  <si>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</si>
  <si>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</si>
  <si>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</si>
  <si>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</si>
  <si>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</si>
  <si>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</si>
  <si>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</si>
  <si>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</si>
  <si>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</si>
  <si>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</si>
  <si>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</si>
  <si>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</si>
  <si>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</si>
  <si>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</si>
  <si>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</si>
  <si>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</si>
  <si>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</si>
  <si>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</si>
  <si>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</si>
  <si>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</si>
  <si>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</si>
  <si>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</si>
  <si>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</si>
  <si>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</si>
  <si>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</si>
  <si>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</si>
  <si>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</si>
  <si>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</si>
  <si>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</si>
  <si>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</si>
  <si>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</si>
  <si>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</si>
  <si>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</si>
  <si>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</si>
  <si>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</si>
  <si>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</si>
  <si>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</si>
  <si>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</si>
  <si>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</si>
  <si>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</si>
  <si>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</si>
  <si>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</si>
  <si>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</si>
  <si>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</si>
  <si>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</si>
  <si>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</si>
  <si>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</si>
  <si>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</si>
  <si>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</si>
  <si>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</si>
  <si>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</si>
  <si>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</si>
  <si>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</si>
  <si>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</si>
  <si>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</si>
  <si>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</si>
  <si>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</si>
  <si>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</si>
  <si>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</si>
  <si>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</si>
  <si>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</si>
  <si>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</si>
  <si>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</si>
  <si>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</si>
  <si>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</si>
  <si>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</si>
  <si>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</si>
  <si>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</si>
  <si>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</si>
  <si>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</si>
  <si>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</si>
  <si>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</si>
  <si>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</si>
  <si>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</si>
  <si>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</si>
  <si>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</si>
  <si>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</si>
  <si>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</si>
  <si>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</si>
  <si>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</si>
  <si>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</si>
  <si>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</si>
  <si>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</si>
  <si>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</si>
  <si>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</si>
  <si>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</si>
  <si>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</si>
  <si>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</si>
  <si>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</si>
  <si>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</si>
  <si>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</si>
  <si>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</si>
  <si>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</si>
  <si>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</si>
  <si>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</si>
  <si>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</si>
  <si>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</si>
  <si>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</si>
  <si>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</si>
  <si>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</si>
  <si>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</si>
  <si>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</si>
  <si>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</si>
  <si>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</si>
  <si>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</si>
  <si>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</si>
  <si>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</si>
  <si>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</si>
  <si>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</si>
  <si>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</si>
  <si>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</si>
  <si>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</si>
  <si>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</si>
  <si>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</si>
  <si>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</si>
  <si>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</si>
  <si>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</si>
  <si>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</si>
  <si>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</si>
  <si>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</si>
  <si>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</si>
  <si>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</si>
  <si>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</si>
  <si>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</si>
  <si>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</si>
  <si>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</si>
  <si>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</si>
  <si>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</si>
  <si>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</si>
  <si>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</si>
  <si>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</si>
  <si>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</si>
  <si>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</si>
  <si>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</si>
  <si>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</si>
  <si>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</si>
  <si>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</si>
  <si>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</si>
  <si>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</si>
  <si>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</si>
  <si>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</si>
  <si>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</si>
  <si>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</si>
  <si>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</si>
  <si>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</si>
  <si>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</si>
  <si>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</si>
  <si>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</si>
  <si>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</si>
  <si>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</si>
  <si>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</si>
  <si>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</si>
  <si>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</si>
  <si>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</si>
  <si>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</si>
  <si>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</si>
  <si>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</si>
  <si>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</si>
  <si>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</si>
  <si>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</si>
  <si>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</si>
  <si>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</si>
  <si>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</si>
  <si>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</si>
  <si>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</si>
  <si>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</si>
  <si>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</si>
  <si>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</si>
  <si>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</si>
  <si>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</si>
  <si>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</si>
  <si>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</si>
  <si>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</si>
  <si>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</si>
  <si>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</si>
  <si>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</si>
  <si>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</si>
  <si>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</si>
  <si>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</si>
  <si>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</si>
  <si>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</si>
  <si>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</si>
  <si>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</si>
  <si>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</si>
  <si>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</si>
  <si>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</si>
  <si>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</si>
  <si>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</si>
  <si>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</si>
  <si>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</si>
  <si>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</si>
  <si>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</si>
  <si>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</si>
  <si>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</si>
  <si>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</si>
  <si>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</si>
  <si>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</si>
  <si>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</si>
  <si>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</si>
  <si>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</si>
  <si>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</si>
  <si>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</si>
  <si>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</si>
  <si>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</si>
  <si>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</si>
  <si>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</si>
  <si>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</si>
  <si>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</si>
  <si>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</si>
  <si>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</si>
  <si>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</si>
  <si>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</si>
  <si>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</si>
  <si>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</si>
  <si>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</si>
  <si>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</si>
  <si>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</si>
  <si>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</si>
  <si>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</si>
  <si>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</si>
  <si>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</si>
  <si>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</si>
  <si>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</si>
  <si>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</si>
  <si>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</si>
  <si>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</si>
  <si>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</si>
  <si>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</si>
  <si>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</si>
  <si>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</si>
  <si>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</si>
  <si>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</si>
  <si>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</si>
  <si>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</si>
  <si>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</si>
  <si>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</si>
  <si>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</si>
  <si>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</si>
  <si>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</si>
  <si>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</si>
  <si>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</si>
  <si>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</si>
  <si>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</si>
  <si>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</si>
  <si>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</si>
  <si>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</si>
  <si>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</si>
  <si>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</si>
  <si>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</si>
  <si>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</si>
  <si>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</si>
  <si>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</si>
  <si>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</si>
  <si>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</si>
  <si>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</si>
  <si>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</si>
  <si>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</si>
  <si>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</si>
  <si>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</si>
  <si>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</si>
  <si>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</si>
  <si>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</si>
  <si>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</si>
  <si>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</si>
  <si>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</si>
  <si>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</si>
  <si>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</si>
  <si>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</si>
  <si>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</si>
  <si>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</si>
  <si>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</si>
  <si>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</si>
  <si>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</si>
  <si>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</si>
  <si>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</si>
  <si>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</si>
  <si>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</si>
  <si>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</si>
  <si>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</si>
  <si>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</si>
  <si>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</si>
  <si>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</si>
  <si>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</si>
  <si>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</si>
  <si>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</si>
  <si>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</si>
  <si>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</si>
  <si>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</si>
  <si>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</si>
  <si>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</si>
  <si>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</si>
  <si>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</si>
  <si>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</si>
  <si>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</si>
  <si>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</si>
  <si>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</si>
  <si>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</si>
  <si>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</si>
  <si>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</si>
  <si>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</si>
  <si>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</si>
  <si>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</si>
  <si>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</si>
  <si>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</si>
  <si>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</si>
  <si>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</si>
  <si>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</si>
  <si>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</si>
  <si>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</si>
  <si>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</si>
  <si>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</si>
  <si>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</si>
  <si>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</si>
  <si>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</si>
  <si>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</si>
  <si>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</si>
  <si>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</si>
  <si>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</si>
  <si>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</si>
  <si>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</si>
  <si>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</si>
  <si>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</si>
  <si>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</si>
  <si>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</si>
  <si>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</si>
  <si>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</si>
  <si>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</si>
  <si>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</si>
  <si>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</si>
  <si>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</si>
  <si>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</si>
  <si>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</si>
  <si>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</si>
  <si>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</si>
  <si>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</si>
  <si>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</si>
  <si>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</si>
  <si>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</si>
  <si>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</si>
  <si>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</si>
  <si>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</si>
  <si>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</si>
  <si>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</si>
  <si>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</si>
  <si>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</si>
  <si>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</si>
  <si>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</si>
  <si>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</si>
  <si>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</si>
  <si>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</si>
  <si>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</si>
  <si>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</si>
  <si>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</si>
  <si>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</si>
  <si>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</si>
  <si>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</si>
  <si>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</si>
  <si>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</si>
  <si>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</si>
  <si>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</si>
  <si>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</si>
  <si>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</si>
  <si>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</si>
  <si>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</si>
  <si>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</si>
  <si>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</si>
  <si>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</si>
  <si>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</si>
  <si>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</si>
  <si>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</si>
  <si>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</si>
  <si>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</si>
  <si>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</si>
  <si>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</si>
  <si>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</si>
  <si>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</si>
  <si>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</si>
  <si>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</si>
  <si>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</si>
  <si>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</si>
  <si>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</si>
  <si>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</si>
  <si>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</si>
  <si>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</si>
  <si>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</si>
  <si>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</si>
  <si>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</si>
  <si>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</si>
  <si>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</si>
  <si>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</si>
  <si>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</si>
  <si>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</si>
  <si>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</si>
  <si>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</si>
  <si>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</si>
  <si>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</si>
  <si>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</si>
  <si>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</si>
  <si>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</si>
  <si>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</si>
  <si>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</si>
  <si>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</si>
  <si>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</si>
  <si>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</si>
  <si>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</si>
  <si>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</si>
  <si>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</si>
  <si>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</si>
  <si>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</si>
  <si>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</si>
  <si>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</si>
  <si>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</si>
  <si>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</si>
  <si>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</si>
  <si>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</si>
  <si>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</si>
  <si>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</si>
  <si>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</si>
  <si>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</si>
  <si>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</si>
  <si>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</si>
  <si>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</si>
  <si>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</si>
  <si>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</si>
  <si>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</si>
  <si>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</si>
  <si>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</si>
  <si>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</si>
  <si>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</si>
  <si>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</si>
  <si>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</si>
  <si>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</si>
  <si>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</si>
  <si>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</si>
  <si>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</si>
  <si>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</si>
  <si>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</si>
  <si>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</si>
  <si>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</si>
  <si>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</si>
  <si>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</si>
  <si>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</si>
  <si>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</si>
  <si>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</si>
  <si>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</si>
  <si>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</si>
  <si>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</si>
  <si>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</si>
  <si>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</si>
  <si>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</si>
  <si>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</si>
  <si>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</si>
  <si>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</si>
  <si>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</si>
  <si>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</si>
  <si>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</si>
  <si>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</si>
  <si>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</si>
  <si>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</si>
  <si>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</si>
  <si>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</si>
  <si>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</si>
  <si>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</si>
  <si>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</si>
  <si>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</si>
  <si>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</si>
  <si>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</si>
  <si>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</si>
  <si>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</si>
  <si>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</si>
  <si>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</si>
  <si>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</si>
  <si>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</si>
  <si>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</si>
  <si>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</si>
  <si>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</si>
  <si>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</si>
  <si>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</si>
  <si>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</si>
  <si>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</si>
  <si>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</si>
  <si>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</si>
  <si>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</si>
  <si>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</si>
  <si>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</si>
  <si>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</si>
  <si>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</si>
  <si>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</si>
  <si>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</si>
  <si>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</si>
  <si>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</si>
  <si>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</si>
  <si>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</si>
  <si>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</si>
  <si>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</si>
  <si>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</si>
  <si>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</si>
  <si>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</si>
  <si>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</si>
  <si>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</si>
  <si>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</si>
  <si>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</si>
  <si>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</si>
  <si>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</si>
  <si>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</si>
  <si>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</si>
  <si>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</si>
  <si>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</si>
  <si>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</si>
  <si>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</si>
  <si>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</si>
  <si>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</si>
  <si>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</si>
  <si>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</si>
  <si>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</si>
  <si>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</si>
  <si>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</si>
  <si>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</si>
  <si>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</si>
  <si>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</si>
  <si>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</si>
  <si>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</si>
  <si>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</si>
  <si>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</si>
  <si>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</si>
  <si>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</si>
  <si>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</si>
  <si>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</si>
  <si>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</si>
  <si>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</si>
  <si>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</si>
  <si>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</si>
  <si>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</si>
  <si>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</si>
  <si>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</si>
  <si>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</si>
  <si>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</si>
  <si>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</si>
  <si>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</si>
  <si>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</si>
  <si>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</si>
  <si>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</si>
  <si>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</si>
  <si>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</si>
  <si>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</si>
  <si>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</si>
  <si>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</si>
  <si>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</si>
  <si>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</si>
  <si>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</si>
  <si>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</si>
  <si>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</si>
  <si>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</si>
  <si>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</si>
  <si>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</si>
  <si>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</si>
  <si>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</si>
  <si>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</si>
  <si>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</si>
  <si>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</si>
  <si>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</si>
  <si>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</si>
  <si>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</si>
  <si>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</si>
  <si>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</si>
  <si>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</si>
  <si>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</si>
  <si>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</si>
  <si>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</si>
  <si>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</si>
  <si>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</si>
  <si>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</si>
  <si>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</si>
  <si>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</si>
  <si>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</si>
  <si>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</si>
  <si>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</si>
  <si>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</si>
  <si>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</si>
  <si>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</si>
  <si>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</si>
  <si>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</si>
  <si>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</si>
  <si>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</si>
  <si>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</si>
  <si>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</si>
  <si>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</si>
  <si>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</si>
  <si>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</si>
  <si>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</si>
  <si>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</si>
  <si>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</si>
  <si>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</si>
  <si>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</si>
  <si>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</si>
  <si>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</si>
  <si>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</si>
  <si>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</si>
  <si>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</si>
  <si>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</si>
  <si>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</si>
  <si>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</si>
  <si>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</si>
  <si>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</si>
  <si>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</si>
  <si>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</si>
  <si>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</si>
  <si>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</si>
  <si>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</si>
  <si>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</si>
  <si>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</si>
  <si>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</si>
  <si>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</si>
  <si>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</si>
  <si>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</si>
  <si>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</si>
  <si>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</si>
  <si>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</si>
  <si>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</si>
  <si>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</si>
  <si>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</si>
  <si>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</si>
  <si>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</si>
  <si>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</si>
  <si>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</si>
  <si>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</si>
  <si>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</si>
  <si>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</si>
  <si>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</si>
  <si>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</si>
  <si>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</si>
  <si>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</si>
  <si>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</si>
  <si>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</si>
  <si>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</si>
  <si>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</si>
  <si>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</si>
  <si>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</si>
  <si>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</si>
  <si>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</si>
  <si>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</si>
  <si>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</si>
  <si>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</si>
  <si>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</si>
  <si>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</si>
  <si>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</si>
  <si>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</si>
  <si>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</si>
  <si>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</si>
  <si>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</si>
  <si>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</si>
  <si>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</si>
  <si>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</si>
  <si>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</si>
  <si>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</si>
  <si>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</si>
  <si>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</si>
  <si>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</si>
  <si>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</si>
  <si>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</si>
  <si>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</si>
  <si>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</si>
  <si>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</si>
  <si>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</si>
  <si>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</si>
  <si>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</si>
  <si>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</si>
  <si>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</si>
  <si>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</si>
  <si>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</si>
  <si>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</si>
  <si>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</si>
  <si>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</si>
  <si>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</si>
  <si>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</si>
  <si>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</si>
  <si>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</si>
  <si>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</si>
  <si>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</si>
  <si>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</si>
  <si>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</si>
  <si>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</si>
  <si>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</si>
  <si>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</si>
  <si>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</si>
  <si>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</si>
  <si>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</si>
  <si>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</si>
  <si>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</si>
  <si>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</si>
  <si>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</si>
  <si>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</si>
  <si>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</si>
  <si>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</si>
  <si>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</si>
  <si>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</si>
  <si>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</si>
  <si>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</si>
  <si>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</si>
  <si>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</si>
  <si>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</si>
  <si>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</si>
  <si>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</si>
  <si>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</si>
  <si>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</si>
  <si>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</si>
  <si>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</si>
  <si>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</si>
  <si>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</si>
  <si>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</si>
  <si>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</si>
  <si>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</si>
  <si>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</si>
  <si>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</si>
  <si>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</si>
  <si>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</si>
  <si>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</si>
  <si>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</si>
  <si>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</si>
  <si>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</si>
  <si>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</si>
  <si>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</si>
  <si>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</si>
  <si>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</si>
  <si>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</si>
  <si>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</si>
  <si>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</si>
  <si>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</si>
  <si>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</si>
  <si>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</si>
  <si>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</si>
  <si>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</si>
  <si>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</si>
  <si>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</si>
  <si>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</si>
  <si>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</si>
  <si>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</si>
  <si>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</si>
  <si>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</si>
  <si>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</si>
  <si>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</si>
  <si>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</si>
  <si>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</si>
  <si>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</si>
  <si>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</si>
  <si>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</si>
  <si>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</si>
  <si>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</si>
  <si>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</si>
  <si>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</si>
  <si>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</si>
  <si>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</si>
  <si>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</si>
  <si>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</si>
  <si>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</si>
  <si>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</si>
  <si>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</si>
  <si>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</si>
  <si>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</si>
  <si>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</si>
  <si>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</si>
  <si>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</si>
  <si>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</si>
  <si>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</si>
  <si>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</si>
  <si>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</si>
  <si>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</si>
  <si>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</si>
  <si>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</si>
  <si>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</si>
  <si>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</si>
  <si>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</si>
  <si>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</si>
  <si>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</si>
  <si>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</si>
  <si>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</si>
  <si>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</si>
  <si>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</si>
  <si>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</si>
  <si>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</si>
  <si>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</si>
  <si>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</si>
  <si>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</si>
  <si>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</si>
  <si>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</si>
  <si>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</si>
  <si>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</si>
  <si>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</si>
  <si>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</si>
  <si>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</si>
  <si>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</si>
  <si>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</si>
  <si>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</si>
  <si>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</si>
  <si>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</si>
  <si>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</si>
  <si>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</si>
  <si>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</si>
  <si>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</si>
  <si>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</si>
  <si>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</si>
  <si>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</si>
  <si>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</si>
  <si>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</si>
  <si>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</si>
  <si>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</si>
  <si>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</si>
  <si>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</si>
  <si>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</si>
  <si>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</si>
  <si>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</si>
  <si>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</si>
  <si>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</si>
  <si>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</si>
  <si>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</si>
  <si>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</si>
  <si>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</si>
  <si>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</si>
  <si>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</si>
  <si>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</si>
  <si>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</si>
  <si>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</si>
  <si>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</si>
  <si>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</si>
  <si>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</si>
  <si>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</si>
  <si>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</si>
  <si>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</si>
  <si>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</si>
  <si>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</si>
  <si>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</si>
  <si>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</si>
  <si>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</si>
  <si>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</si>
  <si>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</si>
  <si>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</si>
  <si>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</si>
  <si>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</si>
  <si>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</si>
  <si>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</si>
  <si>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</si>
  <si>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</si>
  <si>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</si>
  <si>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</si>
  <si>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</si>
  <si>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</si>
  <si>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</si>
  <si>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</si>
  <si>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</si>
  <si>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</si>
  <si>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</si>
  <si>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</si>
  <si>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</si>
  <si>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</si>
  <si>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</si>
  <si>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</si>
  <si>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</si>
  <si>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</si>
  <si>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</si>
  <si>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</si>
  <si>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</si>
  <si>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</si>
  <si>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</si>
  <si>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</si>
  <si>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</si>
  <si>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</si>
  <si>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</si>
  <si>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</si>
  <si>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</si>
  <si>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</si>
  <si>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</si>
  <si>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</si>
  <si>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</si>
  <si>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</si>
  <si>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</si>
  <si>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</si>
  <si>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</si>
  <si>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</si>
  <si>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</si>
  <si>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</si>
  <si>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</si>
  <si>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</si>
  <si>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</si>
  <si>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</si>
  <si>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</si>
  <si>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</si>
  <si>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</si>
  <si>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</si>
  <si>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</si>
  <si>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</si>
  <si>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</si>
  <si>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</si>
  <si>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</si>
  <si>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</si>
  <si>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</si>
  <si>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</si>
  <si>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</si>
  <si>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</si>
  <si>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</si>
  <si>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</si>
  <si>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</si>
  <si>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</si>
  <si>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</si>
  <si>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</si>
  <si>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</si>
  <si>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</si>
  <si>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</si>
  <si>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</si>
  <si>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</si>
  <si>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</si>
  <si>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</si>
  <si>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</si>
  <si>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</si>
  <si>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</si>
  <si>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</si>
  <si>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</si>
  <si>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</si>
  <si>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</si>
  <si>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</si>
  <si>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</si>
  <si>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</si>
  <si>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</si>
  <si>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</si>
  <si>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</si>
  <si>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</si>
  <si>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</si>
  <si>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</si>
  <si>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</si>
  <si>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</si>
  <si>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</si>
  <si>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</si>
  <si>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</si>
  <si>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</si>
  <si>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</si>
  <si>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</si>
  <si>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</si>
  <si>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</si>
  <si>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</si>
  <si>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</si>
  <si>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</si>
  <si>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</si>
  <si>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</si>
  <si>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</si>
  <si>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</si>
  <si>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</si>
  <si>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</si>
  <si>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</si>
  <si>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</si>
  <si>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</si>
  <si>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</si>
  <si>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</si>
  <si>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</si>
  <si>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</si>
  <si>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</si>
  <si>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</si>
  <si>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</si>
  <si>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</si>
  <si>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</si>
  <si>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</si>
  <si>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</si>
  <si>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</si>
  <si>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</si>
  <si>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</si>
  <si>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</si>
  <si>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</si>
  <si>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</si>
  <si>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</si>
  <si>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</si>
  <si>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</si>
  <si>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</si>
  <si>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</si>
  <si>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</si>
  <si>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</si>
  <si>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</si>
  <si>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</si>
  <si>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</si>
  <si>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</si>
  <si>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</si>
  <si>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</si>
  <si>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</si>
  <si>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</si>
  <si>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</si>
  <si>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</si>
  <si>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</si>
  <si>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</si>
  <si>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</si>
  <si>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</si>
  <si>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</si>
  <si>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</si>
  <si>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</si>
  <si>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</si>
  <si>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</si>
  <si>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</si>
  <si>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</si>
  <si>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</si>
  <si>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</si>
  <si>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</si>
  <si>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</si>
  <si>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</si>
  <si>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</si>
  <si>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</si>
  <si>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</si>
  <si>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</si>
  <si>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</si>
  <si>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</si>
  <si>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</si>
  <si>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</si>
  <si>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</si>
  <si>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</si>
  <si>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</si>
  <si>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</si>
  <si>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</si>
  <si>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</si>
  <si>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</si>
  <si>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</si>
  <si>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</si>
  <si>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</si>
  <si>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</si>
  <si>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</si>
  <si>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</si>
  <si>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</si>
  <si>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</si>
  <si>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</si>
  <si>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</si>
  <si>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</si>
  <si>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</si>
  <si>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</si>
  <si>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</si>
  <si>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</si>
  <si>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</si>
  <si>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</si>
  <si>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</si>
  <si>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</si>
  <si>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</si>
  <si>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</si>
  <si>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</si>
  <si>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</si>
  <si>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</si>
  <si>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</si>
  <si>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</si>
  <si>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</si>
  <si>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</si>
  <si>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</si>
  <si>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</si>
  <si>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</si>
  <si>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</si>
  <si>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</si>
  <si>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</si>
  <si>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</si>
  <si>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</si>
  <si>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</si>
  <si>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</si>
  <si>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</si>
  <si>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</si>
  <si>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</si>
  <si>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</si>
  <si>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</si>
  <si>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</si>
  <si>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</si>
  <si>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</si>
  <si>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</si>
  <si>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</si>
  <si>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</si>
  <si>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</si>
  <si>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</si>
  <si>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</si>
  <si>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</si>
  <si>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</si>
  <si>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</si>
  <si>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</si>
  <si>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</si>
  <si>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</si>
  <si>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</si>
  <si>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</si>
  <si>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</si>
  <si>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</si>
  <si>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</si>
  <si>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</si>
  <si>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</si>
  <si>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</si>
  <si>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</si>
  <si>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</si>
  <si>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</si>
  <si>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</si>
  <si>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</si>
  <si>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</si>
  <si>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</si>
  <si>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</si>
  <si>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</si>
  <si>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</si>
  <si>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</si>
  <si>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</si>
  <si>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</si>
  <si>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</si>
  <si>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</si>
  <si>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</si>
  <si>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</si>
  <si>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</si>
  <si>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</si>
  <si>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</si>
  <si>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</si>
  <si>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</si>
  <si>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</si>
  <si>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</si>
  <si>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</si>
  <si>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</si>
  <si>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</si>
  <si>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</si>
  <si>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</si>
  <si>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</si>
  <si>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</si>
  <si>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</si>
  <si>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</si>
  <si>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</si>
  <si>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</si>
  <si>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</si>
  <si>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</si>
  <si>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</si>
  <si>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</si>
  <si>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</si>
  <si>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</si>
  <si>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</si>
  <si>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</si>
  <si>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</si>
  <si>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</si>
  <si>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</si>
  <si>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</si>
  <si>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</si>
  <si>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</si>
  <si>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</si>
  <si>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</si>
  <si>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</si>
  <si>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</si>
  <si>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</si>
  <si>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</si>
  <si>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</si>
  <si>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</si>
  <si>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</si>
  <si>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</si>
  <si>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</si>
  <si>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</si>
  <si>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</si>
  <si>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</si>
  <si>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</si>
  <si>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</si>
  <si>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</si>
  <si>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</si>
  <si>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</si>
  <si>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</si>
  <si>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</si>
  <si>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</si>
  <si>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</si>
  <si>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</si>
  <si>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</si>
  <si>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</si>
  <si>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</si>
  <si>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</si>
  <si>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</si>
  <si>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</si>
  <si>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</si>
  <si>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</si>
  <si>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</si>
  <si>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</si>
  <si>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</si>
  <si>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</si>
  <si>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</si>
  <si>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</si>
  <si>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</si>
  <si>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</si>
  <si>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</si>
  <si>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</si>
  <si>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</si>
  <si>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</si>
  <si>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</si>
  <si>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</si>
  <si>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</si>
  <si>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</si>
  <si>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</si>
  <si>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</si>
  <si>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</si>
  <si>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</si>
  <si>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</si>
  <si>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</si>
  <si>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</si>
  <si>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</si>
  <si>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</si>
  <si>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</si>
  <si>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</si>
  <si>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</si>
  <si>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</si>
  <si>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</si>
  <si>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</si>
  <si>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</si>
  <si>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</si>
  <si>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</si>
  <si>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</si>
  <si>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</si>
  <si>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</si>
  <si>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</si>
  <si>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</si>
  <si>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</si>
  <si>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</si>
  <si>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</si>
  <si>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</si>
  <si>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</si>
  <si>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</si>
  <si>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</si>
  <si>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</si>
  <si>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</si>
  <si>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</si>
  <si>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</si>
  <si>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</si>
  <si>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</si>
  <si>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</si>
  <si>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</si>
  <si>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</si>
  <si>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</si>
  <si>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</si>
  <si>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</si>
  <si>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</si>
  <si>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</si>
  <si>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</si>
  <si>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</si>
  <si>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</si>
  <si>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</si>
  <si>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</si>
  <si>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</si>
  <si>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</si>
  <si>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</si>
  <si>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</si>
  <si>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</si>
  <si>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</si>
  <si>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</si>
  <si>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</si>
  <si>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</si>
  <si>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</si>
  <si>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</si>
  <si>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</si>
  <si>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</si>
  <si>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</si>
  <si>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</si>
  <si>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</si>
  <si>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</si>
  <si>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</si>
  <si>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</si>
  <si>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</si>
  <si>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</si>
  <si>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</si>
  <si>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</si>
  <si>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</si>
  <si>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</si>
  <si>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</si>
  <si>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</si>
  <si>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</si>
  <si>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</si>
  <si>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</si>
  <si>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</si>
  <si>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</si>
  <si>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</si>
  <si>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</si>
  <si>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</si>
  <si>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</si>
  <si>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</si>
  <si>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</si>
  <si>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</si>
  <si>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</si>
  <si>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</si>
  <si>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</si>
  <si>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</si>
  <si>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</si>
  <si>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</si>
  <si>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</si>
  <si>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</si>
  <si>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</si>
  <si>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</si>
  <si>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</si>
  <si>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</si>
  <si>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</si>
  <si>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</si>
  <si>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</si>
  <si>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</si>
  <si>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</si>
  <si>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</si>
  <si>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</si>
  <si>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</si>
  <si>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</si>
  <si>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</si>
  <si>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</si>
  <si>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</si>
  <si>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</si>
  <si>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</si>
  <si>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</si>
  <si>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</si>
  <si>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</si>
  <si>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</si>
  <si>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</si>
  <si>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</si>
  <si>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</si>
  <si>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</si>
  <si>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</si>
  <si>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</si>
  <si>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</si>
  <si>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</si>
  <si>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</si>
  <si>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</si>
  <si>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</si>
  <si>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</si>
  <si>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</si>
  <si>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</si>
  <si>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</si>
  <si>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</si>
  <si>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</si>
  <si>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</si>
  <si>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</si>
  <si>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</si>
  <si>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</si>
  <si>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</si>
  <si>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</si>
  <si>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</si>
  <si>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</si>
  <si>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</si>
  <si>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</si>
  <si>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</si>
  <si>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</si>
  <si>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</si>
  <si>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</si>
  <si>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</si>
  <si>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</si>
  <si>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</si>
  <si>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</si>
  <si>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</si>
  <si>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</si>
  <si>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</si>
  <si>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</si>
  <si>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</si>
  <si>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</si>
  <si>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</si>
  <si>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</si>
  <si>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</si>
  <si>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</si>
  <si>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</si>
  <si>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</si>
  <si>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</si>
  <si>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</si>
  <si>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</si>
  <si>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</si>
  <si>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</si>
  <si>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</si>
  <si>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</si>
  <si>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</si>
  <si>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</si>
  <si>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</si>
  <si>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</si>
  <si>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</si>
  <si>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</si>
  <si>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</si>
  <si>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</si>
  <si>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</si>
  <si>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</si>
  <si>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</si>
  <si>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</si>
  <si>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</si>
  <si>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</si>
  <si>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</si>
  <si>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</si>
  <si>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</si>
  <si>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</si>
  <si>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</si>
  <si>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</si>
  <si>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</si>
  <si>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</si>
  <si>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</si>
  <si>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</si>
  <si>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</si>
  <si>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</si>
  <si>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</si>
  <si>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</si>
  <si>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</si>
  <si>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</si>
  <si>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</si>
  <si>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</si>
  <si>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</si>
  <si>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</si>
  <si>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</si>
  <si>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</si>
  <si>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</si>
  <si>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</si>
  <si>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</si>
  <si>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</si>
  <si>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</si>
  <si>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</si>
  <si>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</si>
  <si>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</si>
  <si>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</si>
  <si>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</si>
  <si>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</si>
  <si>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</si>
  <si>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</si>
  <si>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</si>
  <si>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</si>
  <si>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</si>
  <si>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</si>
  <si>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</si>
  <si>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</si>
  <si>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</si>
  <si>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</si>
  <si>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</si>
  <si>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</si>
  <si>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</si>
  <si>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</si>
  <si>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</si>
  <si>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</si>
  <si>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</si>
  <si>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</si>
  <si>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</si>
  <si>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</si>
  <si>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</si>
  <si>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</si>
  <si>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</si>
  <si>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</si>
  <si>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</si>
  <si>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</si>
  <si>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</si>
  <si>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</si>
  <si>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</si>
  <si>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</si>
  <si>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</si>
  <si>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</si>
  <si>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</si>
  <si>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</si>
  <si>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</si>
  <si>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</si>
  <si>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</si>
  <si>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</si>
  <si>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</si>
  <si>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</si>
  <si>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</si>
  <si>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</si>
  <si>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</si>
  <si>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</si>
  <si>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</si>
  <si>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</si>
  <si>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</si>
  <si>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</si>
  <si>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</si>
  <si>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</si>
  <si>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</si>
  <si>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</si>
  <si>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</si>
  <si>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</si>
  <si>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</si>
  <si>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</si>
  <si>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</si>
  <si>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</si>
  <si>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</si>
  <si>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</si>
  <si>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</si>
  <si>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</si>
  <si>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</si>
  <si>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</si>
  <si>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</si>
  <si>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</si>
  <si>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</si>
  <si>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</si>
  <si>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</si>
  <si>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</si>
  <si>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</si>
  <si>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</si>
  <si>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</si>
  <si>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</si>
  <si>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</si>
  <si>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</si>
  <si>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</si>
  <si>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</si>
  <si>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</si>
  <si>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</si>
  <si>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</si>
  <si>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</si>
  <si>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</si>
  <si>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</si>
  <si>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</si>
  <si>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</si>
  <si>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</si>
  <si>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</si>
  <si>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</si>
  <si>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</si>
  <si>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</si>
  <si>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</si>
  <si>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</si>
  <si>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</si>
  <si>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</si>
  <si>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</si>
  <si>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</si>
  <si>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</si>
  <si>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</si>
  <si>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</si>
  <si>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</si>
  <si>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</si>
  <si>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</si>
  <si>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</si>
  <si>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</si>
  <si>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</si>
  <si>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</si>
  <si>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</si>
  <si>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</si>
  <si>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</si>
  <si>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</si>
  <si>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</si>
  <si>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</si>
  <si>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</si>
  <si>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</si>
  <si>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</si>
  <si>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</si>
  <si>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</si>
  <si>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</si>
  <si>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</si>
  <si>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</si>
  <si>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</si>
  <si>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</si>
  <si>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</si>
  <si>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</si>
  <si>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</si>
  <si>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</si>
  <si>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</si>
  <si>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</si>
  <si>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</si>
  <si>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</si>
  <si>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</si>
  <si>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</si>
  <si>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</si>
  <si>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</si>
  <si>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</si>
  <si>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</si>
  <si>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</si>
  <si>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</si>
  <si>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</si>
  <si>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</si>
  <si>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</si>
  <si>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</si>
  <si>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</si>
  <si>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</si>
  <si>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</si>
  <si>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</si>
  <si>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</si>
  <si>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</si>
  <si>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</si>
  <si>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</si>
  <si>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</si>
  <si>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</si>
  <si>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</si>
  <si>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</si>
  <si>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</si>
  <si>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</si>
  <si>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</si>
  <si>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</si>
  <si>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</si>
  <si>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</si>
  <si>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</si>
  <si>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</si>
  <si>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</si>
  <si>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</si>
  <si>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</si>
  <si>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</si>
  <si>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</si>
  <si>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</si>
  <si>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</si>
  <si>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</si>
  <si>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</si>
  <si>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</si>
  <si>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</si>
  <si>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</si>
  <si>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</si>
  <si>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</si>
  <si>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</si>
  <si>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</si>
  <si>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</si>
  <si>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</si>
  <si>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</si>
  <si>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</si>
  <si>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</si>
  <si>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</si>
  <si>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</si>
  <si>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</si>
  <si>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</si>
  <si>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</si>
  <si>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</si>
  <si>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</si>
  <si>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</si>
  <si>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</si>
  <si>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</si>
  <si>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</si>
  <si>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</si>
  <si>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</si>
  <si>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</si>
  <si>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</si>
  <si>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</si>
  <si>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</si>
  <si>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</si>
  <si>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</si>
  <si>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</si>
  <si>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</si>
  <si>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</si>
  <si>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</si>
  <si>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</si>
  <si>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</si>
  <si>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</si>
  <si>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</si>
  <si>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</si>
  <si>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</si>
  <si>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</si>
  <si>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</si>
  <si>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</si>
  <si>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</si>
  <si>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</si>
  <si>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</si>
  <si>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</si>
  <si>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</si>
  <si>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</si>
  <si>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</si>
  <si>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</si>
  <si>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</si>
  <si>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</si>
  <si>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</si>
  <si>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</si>
  <si>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</si>
  <si>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</si>
  <si>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</si>
  <si>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</si>
  <si>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</si>
  <si>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</si>
  <si>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</si>
  <si>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</si>
  <si>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</si>
  <si>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</si>
  <si>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</si>
  <si>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</si>
  <si>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</si>
  <si>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</si>
  <si>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</si>
  <si>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</si>
  <si>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</si>
  <si>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</si>
  <si>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</si>
  <si>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</si>
  <si>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</si>
  <si>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</si>
  <si>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</si>
  <si>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</si>
  <si>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</si>
  <si>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</si>
  <si>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</si>
  <si>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</si>
  <si>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</si>
  <si>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</si>
  <si>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</si>
  <si>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</si>
  <si>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</si>
  <si>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</si>
  <si>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</si>
  <si>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</si>
  <si>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</si>
  <si>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</si>
  <si>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</si>
  <si>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</si>
  <si>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</si>
  <si>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</si>
  <si>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</si>
  <si>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</si>
  <si>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</si>
  <si>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</si>
  <si>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</si>
  <si>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</si>
  <si>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</si>
  <si>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</si>
  <si>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</si>
  <si>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</si>
  <si>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</si>
  <si>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</si>
  <si>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</si>
  <si>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</si>
  <si>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</si>
  <si>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</si>
  <si>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</si>
  <si>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</si>
  <si>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</si>
  <si>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</si>
  <si>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</si>
  <si>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</si>
  <si>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</si>
  <si>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</si>
  <si>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</si>
  <si>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</si>
  <si>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</si>
  <si>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</si>
  <si>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</si>
  <si>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</si>
  <si>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</si>
  <si>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</si>
  <si>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</si>
  <si>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</si>
  <si>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</si>
  <si>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</si>
  <si>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</si>
  <si>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</si>
  <si>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</si>
  <si>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</si>
  <si>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</si>
  <si>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</si>
  <si>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</si>
  <si>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</si>
  <si>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</si>
  <si>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</si>
  <si>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</si>
  <si>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</si>
  <si>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</si>
  <si>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</si>
  <si>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</si>
  <si>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</si>
  <si>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</si>
  <si>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</si>
  <si>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</si>
  <si>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</si>
  <si>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</si>
  <si>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</si>
  <si>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</si>
  <si>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</si>
  <si>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</si>
  <si>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</si>
  <si>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</si>
  <si>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</si>
  <si>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</si>
  <si>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</si>
  <si>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</si>
  <si>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</si>
  <si>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</si>
  <si>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</si>
  <si>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</si>
  <si>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</si>
  <si>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</si>
  <si>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</si>
  <si>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</si>
  <si>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</si>
  <si>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</si>
  <si>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</si>
  <si>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</si>
  <si>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</si>
  <si>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</si>
  <si>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</si>
  <si>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</si>
  <si>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</si>
  <si>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</si>
  <si>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</si>
  <si>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</si>
  <si>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</si>
  <si>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</si>
  <si>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</si>
  <si>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</si>
  <si>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</si>
  <si>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</si>
  <si>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</si>
  <si>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</si>
  <si>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</si>
  <si>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</si>
  <si>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</si>
  <si>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</si>
  <si>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</si>
  <si>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</si>
  <si>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</si>
  <si>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</si>
  <si>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</si>
  <si>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</si>
  <si>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</si>
  <si>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</si>
  <si>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</si>
  <si>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</si>
  <si>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</si>
  <si>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</si>
  <si>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</si>
  <si>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</si>
  <si>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</si>
  <si>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</si>
  <si>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</si>
  <si>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</si>
  <si>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</si>
  <si>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</si>
  <si>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</si>
  <si>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</si>
  <si>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</si>
  <si>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</si>
  <si>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</si>
  <si>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</si>
  <si>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</si>
  <si>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</si>
  <si>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</si>
  <si>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</si>
  <si>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</si>
  <si>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</si>
  <si>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</si>
  <si>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</si>
  <si>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</si>
  <si>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</si>
  <si>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</si>
  <si>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</si>
  <si>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</si>
  <si>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</si>
  <si>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</si>
  <si>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</si>
  <si>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</si>
  <si>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</si>
  <si>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</si>
  <si>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</si>
  <si>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</si>
  <si>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</si>
  <si>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</si>
  <si>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</si>
  <si>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</si>
  <si>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</si>
  <si>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</si>
  <si>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</si>
  <si>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</si>
  <si>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</si>
  <si>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</si>
  <si>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</si>
  <si>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</si>
  <si>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</si>
  <si>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</si>
  <si>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</si>
  <si>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</si>
  <si>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</si>
  <si>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</si>
  <si>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</si>
  <si>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</si>
  <si>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</si>
  <si>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</si>
  <si>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</si>
  <si>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</si>
  <si>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</si>
  <si>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</si>
  <si>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</si>
  <si>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</si>
  <si>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</si>
  <si>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</si>
  <si>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</si>
  <si>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</si>
  <si>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</si>
  <si>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</si>
  <si>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</si>
  <si>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</si>
  <si>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</si>
  <si>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</si>
  <si>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</si>
  <si>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</si>
  <si>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</si>
  <si>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</si>
  <si>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</si>
  <si>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</si>
  <si>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</si>
  <si>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</si>
  <si>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</si>
  <si>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</si>
  <si>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</si>
  <si>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</si>
  <si>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</si>
  <si>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</si>
  <si>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</si>
  <si>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</si>
  <si>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</si>
  <si>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</si>
  <si>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</si>
  <si>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</si>
  <si>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</si>
  <si>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</si>
  <si>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</si>
  <si>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</si>
  <si>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</si>
  <si>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</si>
  <si>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</si>
  <si>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</si>
  <si>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</si>
  <si>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</si>
  <si>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</si>
  <si>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</si>
  <si>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</si>
  <si>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</si>
  <si>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</si>
  <si>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</si>
  <si>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</si>
  <si>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</si>
  <si>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</si>
  <si>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</si>
  <si>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</si>
  <si>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</si>
  <si>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</si>
  <si>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</si>
  <si>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</si>
  <si>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</si>
  <si>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</si>
  <si>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</si>
  <si>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</si>
  <si>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</si>
  <si>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</si>
  <si>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</si>
  <si>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</si>
  <si>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</si>
  <si>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</si>
  <si>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</si>
  <si>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</si>
  <si>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</si>
  <si>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</si>
  <si>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</si>
  <si>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</si>
  <si>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</si>
  <si>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</si>
  <si>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</si>
  <si>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</si>
  <si>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</si>
  <si>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</si>
  <si>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</si>
  <si>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</si>
  <si>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</si>
  <si>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</si>
  <si>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</si>
  <si>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</si>
  <si>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</si>
  <si>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</si>
  <si>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</si>
  <si>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</si>
  <si>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</si>
  <si>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</si>
  <si>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</si>
  <si>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</si>
  <si>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</si>
  <si>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</si>
  <si>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</si>
  <si>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</si>
  <si>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</si>
  <si>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</si>
  <si>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</si>
  <si>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</si>
  <si>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</si>
  <si>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</si>
  <si>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</si>
  <si>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</si>
  <si>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</si>
  <si>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</si>
  <si>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</si>
  <si>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</si>
  <si>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</si>
  <si>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</si>
  <si>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</si>
  <si>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</si>
  <si>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</si>
  <si>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</si>
  <si>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</si>
  <si>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</si>
  <si>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</si>
  <si>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</si>
  <si>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</si>
  <si>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</si>
  <si>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</si>
  <si>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</si>
  <si>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</si>
  <si>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</si>
  <si>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</si>
  <si>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</si>
  <si>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</si>
  <si>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</si>
  <si>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</si>
  <si>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</si>
  <si>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</si>
  <si>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</si>
  <si>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</si>
  <si>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</si>
  <si>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</si>
  <si>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</si>
  <si>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</si>
  <si>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</si>
  <si>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</si>
  <si>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</si>
  <si>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</si>
  <si>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</si>
  <si>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</si>
  <si>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</si>
  <si>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</si>
  <si>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</si>
  <si>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</si>
  <si>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</si>
  <si>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</si>
  <si>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</si>
  <si>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</si>
  <si>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</si>
  <si>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</si>
  <si>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</si>
  <si>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</si>
  <si>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</si>
  <si>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</si>
  <si>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</si>
  <si>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</si>
  <si>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</si>
  <si>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</si>
  <si>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</si>
  <si>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</si>
  <si>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</si>
  <si>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</si>
  <si>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</si>
  <si>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</si>
  <si>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</si>
  <si>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</si>
  <si>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</si>
  <si>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</si>
  <si>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</si>
  <si>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</si>
  <si>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</si>
  <si>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</si>
  <si>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</si>
  <si>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</si>
  <si>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</si>
  <si>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</si>
  <si>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</si>
  <si>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</si>
  <si>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</si>
  <si>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</si>
  <si>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</si>
  <si>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</si>
  <si>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</si>
  <si>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</si>
  <si>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</si>
  <si>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</si>
  <si>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</si>
  <si>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</si>
  <si>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</si>
  <si>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</si>
  <si>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</si>
  <si>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</si>
  <si>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</si>
  <si>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</si>
  <si>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</si>
  <si>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</si>
  <si>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</si>
  <si>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</si>
  <si>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</si>
  <si>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</si>
  <si>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</si>
  <si>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</si>
  <si>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</si>
  <si>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</si>
  <si>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</si>
  <si>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</si>
  <si>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</si>
  <si>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</si>
  <si>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</si>
  <si>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</si>
  <si>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</si>
  <si>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</si>
  <si>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</si>
  <si>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</si>
  <si>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</si>
  <si>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</si>
  <si>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</si>
  <si>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</si>
  <si>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</si>
  <si>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</si>
  <si>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</si>
  <si>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</si>
  <si>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</si>
  <si>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</si>
  <si>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</si>
  <si>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</si>
  <si>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</si>
  <si>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</si>
  <si>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</si>
  <si>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</si>
  <si>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</si>
  <si>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</si>
  <si>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</si>
  <si>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</si>
  <si>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</si>
  <si>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</si>
  <si>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</si>
  <si>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</si>
  <si>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</si>
  <si>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</si>
  <si>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</si>
  <si>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</si>
  <si>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</si>
  <si>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</si>
  <si>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</si>
  <si>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</si>
  <si>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</si>
  <si>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</si>
  <si>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</si>
  <si>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</si>
  <si>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</si>
  <si>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</si>
  <si>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</si>
  <si>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</si>
  <si>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</si>
  <si>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</si>
  <si>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</si>
  <si>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</si>
  <si>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</si>
  <si>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</si>
  <si>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</si>
  <si>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</si>
  <si>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</si>
  <si>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</si>
  <si>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</si>
  <si>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</si>
  <si>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</si>
  <si>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</si>
  <si>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</si>
  <si>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</si>
  <si>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</si>
  <si>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</si>
  <si>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</si>
  <si>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</si>
  <si>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</si>
  <si>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</si>
  <si>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</si>
  <si>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</si>
  <si>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</si>
  <si>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</si>
  <si>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</si>
  <si>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</si>
  <si>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</si>
  <si>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</si>
  <si>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</si>
  <si>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</si>
  <si>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</si>
  <si>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</si>
  <si>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</si>
  <si>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</si>
  <si>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</si>
  <si>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</si>
  <si>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</si>
  <si>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</si>
  <si>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</si>
  <si>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</si>
  <si>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</si>
  <si>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</si>
  <si>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</si>
  <si>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</si>
  <si>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</si>
  <si>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</si>
  <si>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</si>
  <si>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</si>
  <si>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</si>
  <si>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</si>
  <si>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</si>
  <si>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</si>
  <si>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</si>
  <si>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</si>
  <si>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</si>
  <si>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</si>
  <si>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</si>
  <si>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</si>
  <si>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</si>
  <si>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</si>
  <si>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</si>
  <si>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</si>
  <si>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</si>
  <si>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</si>
  <si>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</si>
  <si>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</si>
  <si>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</si>
  <si>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</si>
  <si>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</si>
  <si>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</si>
  <si>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</si>
  <si>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</si>
  <si>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</si>
  <si>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</si>
  <si>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</si>
  <si>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</si>
  <si>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</si>
  <si>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</si>
  <si>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</si>
  <si>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</si>
  <si>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</si>
  <si>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</si>
  <si>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</si>
  <si>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</si>
  <si>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</si>
  <si>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</si>
  <si>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</si>
  <si>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</si>
  <si>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</si>
  <si>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</si>
  <si>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</si>
  <si>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</si>
  <si>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</si>
  <si>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</si>
  <si>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</si>
  <si>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</si>
  <si>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</si>
  <si>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</si>
  <si>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</si>
  <si>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</si>
  <si>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</si>
  <si>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</si>
  <si>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</si>
  <si>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</si>
  <si>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</si>
  <si>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</si>
  <si>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</si>
  <si>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</si>
  <si>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</si>
  <si>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</si>
  <si>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</si>
  <si>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</si>
  <si>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</si>
  <si>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</si>
  <si>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</si>
  <si>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</si>
  <si>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</si>
  <si>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</si>
  <si>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</si>
  <si>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</si>
  <si>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</si>
  <si>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</si>
  <si>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</si>
  <si>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</si>
  <si>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</si>
  <si>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</si>
  <si>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</si>
  <si>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</si>
  <si>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</si>
  <si>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</si>
  <si>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</si>
  <si>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</si>
  <si>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</si>
  <si>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</si>
  <si>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</si>
  <si>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</si>
  <si>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</si>
  <si>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</si>
  <si>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</si>
  <si>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</si>
  <si>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</si>
  <si>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</si>
  <si>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</si>
  <si>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</si>
  <si>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</si>
  <si>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</si>
  <si>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</si>
  <si>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</si>
  <si>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</si>
  <si>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</si>
  <si>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</si>
  <si>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</si>
  <si>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</si>
  <si>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</si>
  <si>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</si>
  <si>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</si>
  <si>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</si>
  <si>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</si>
  <si>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</si>
  <si>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</si>
  <si>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</si>
  <si>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</si>
  <si>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</si>
  <si>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</si>
  <si>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</si>
  <si>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</si>
  <si>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</si>
  <si>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</si>
  <si>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</si>
  <si>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</si>
  <si>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</si>
  <si>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</si>
  <si>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</si>
  <si>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</si>
  <si>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</si>
  <si>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</si>
  <si>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</si>
  <si>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</si>
  <si>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</si>
  <si>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</si>
  <si>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</si>
  <si>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</si>
  <si>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</si>
  <si>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</si>
  <si>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</si>
  <si>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</si>
  <si>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</si>
  <si>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</si>
  <si>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</si>
  <si>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</si>
  <si>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</si>
  <si>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</si>
  <si>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</si>
  <si>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</si>
  <si>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</si>
  <si>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</si>
  <si>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</si>
  <si>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</si>
  <si>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</si>
  <si>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</si>
  <si>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</si>
  <si>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</si>
  <si>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</si>
  <si>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</si>
  <si>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</si>
  <si>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</si>
  <si>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</si>
  <si>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</si>
  <si>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</si>
  <si>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</si>
  <si>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</si>
  <si>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</si>
  <si>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</si>
  <si>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</si>
  <si>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</si>
  <si>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</si>
  <si>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</si>
  <si>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</si>
  <si>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</si>
  <si>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</si>
  <si>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</si>
  <si>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</si>
  <si>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</si>
  <si>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</si>
  <si>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</si>
  <si>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</si>
  <si>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</si>
  <si>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</si>
  <si>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</si>
  <si>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</si>
  <si>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</si>
  <si>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</si>
  <si>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</si>
  <si>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</si>
  <si>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</si>
  <si>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</si>
  <si>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</si>
  <si>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</si>
  <si>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</si>
  <si>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</si>
  <si>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</si>
  <si>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</si>
  <si>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</si>
  <si>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</si>
  <si>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</si>
  <si>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</si>
  <si>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</si>
  <si>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</si>
  <si>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</si>
  <si>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</si>
  <si>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</si>
  <si>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</si>
  <si>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</si>
  <si>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</si>
  <si>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</si>
  <si>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</si>
  <si>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</si>
  <si>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</si>
  <si>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</si>
  <si>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</si>
  <si>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</si>
  <si>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</si>
  <si>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</si>
  <si>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</si>
  <si>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</si>
  <si>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</si>
  <si>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</si>
  <si>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</si>
  <si>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</si>
  <si>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</si>
  <si>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</si>
  <si>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</si>
  <si>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</si>
  <si>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</si>
  <si>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</si>
  <si>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</si>
  <si>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</si>
  <si>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</si>
  <si>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</si>
  <si>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</si>
  <si>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</si>
  <si>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</si>
  <si>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</si>
  <si>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</si>
  <si>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</si>
  <si>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</si>
  <si>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</si>
  <si>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</si>
  <si>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</si>
  <si>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</si>
  <si>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</si>
  <si>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</si>
  <si>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</si>
  <si>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</si>
  <si>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</si>
  <si>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</si>
  <si>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</si>
  <si>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</si>
  <si>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</si>
  <si>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</si>
  <si>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</si>
  <si>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</si>
  <si>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</si>
  <si>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</si>
  <si>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</si>
  <si>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</si>
  <si>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</si>
  <si>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</si>
  <si>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</si>
  <si>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</si>
  <si>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</si>
  <si>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</si>
  <si>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</si>
  <si>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</si>
  <si>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</si>
  <si>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</si>
  <si>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</si>
  <si>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</si>
  <si>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</si>
  <si>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</si>
  <si>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</si>
  <si>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</si>
  <si>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</si>
  <si>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</si>
  <si>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</si>
  <si>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</si>
  <si>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</si>
  <si>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</si>
  <si>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</si>
  <si>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</si>
  <si>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</si>
  <si>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</si>
  <si>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</si>
  <si>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</si>
  <si>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</si>
  <si>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</si>
  <si>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</si>
  <si>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</si>
  <si>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</si>
  <si>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</si>
  <si>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</si>
  <si>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</si>
  <si>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</si>
  <si>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</si>
  <si>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</si>
  <si>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</si>
  <si>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</si>
  <si>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</si>
  <si>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</si>
  <si>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</si>
  <si>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</si>
  <si>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</si>
  <si>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</si>
  <si>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</si>
  <si>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</si>
  <si>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</si>
  <si>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</si>
  <si>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</si>
  <si>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</si>
  <si>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</si>
  <si>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</si>
  <si>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</si>
  <si>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</si>
  <si>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</si>
  <si>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</si>
  <si>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</si>
  <si>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</si>
  <si>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</si>
  <si>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</si>
  <si>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</si>
  <si>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</si>
  <si>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</si>
  <si>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</si>
  <si>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</si>
  <si>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</si>
  <si>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</si>
  <si>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</si>
  <si>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</si>
  <si>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</si>
  <si>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</si>
  <si>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</si>
  <si>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</si>
  <si>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</si>
  <si>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</si>
  <si>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</si>
  <si>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</si>
  <si>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</si>
  <si>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</si>
  <si>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</si>
  <si>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</si>
  <si>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</si>
  <si>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</si>
  <si>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</si>
  <si>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</si>
  <si>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</si>
  <si>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</si>
  <si>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</si>
  <si>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</si>
  <si>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</si>
  <si>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</si>
  <si>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</si>
  <si>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</si>
  <si>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</si>
  <si>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</si>
  <si>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</si>
  <si>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</si>
  <si>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</si>
  <si>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</si>
  <si>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</si>
  <si>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</si>
  <si>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</si>
  <si>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</si>
  <si>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</si>
  <si>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</si>
  <si>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</si>
  <si>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</si>
  <si>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</si>
  <si>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</si>
  <si>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</si>
  <si>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</si>
  <si>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</si>
  <si>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</si>
  <si>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</si>
  <si>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</si>
  <si>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</si>
  <si>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</si>
  <si>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</si>
  <si>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</si>
  <si>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</si>
  <si>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</si>
  <si>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</si>
  <si>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</si>
  <si>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</si>
  <si>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</si>
  <si>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</si>
  <si>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</si>
  <si>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</si>
  <si>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</si>
  <si>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</si>
  <si>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</si>
  <si>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</si>
  <si>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</si>
  <si>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</si>
  <si>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</si>
  <si>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</si>
  <si>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</si>
  <si>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</si>
  <si>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</si>
  <si>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</si>
  <si>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</si>
  <si>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</si>
  <si>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</si>
  <si>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</si>
  <si>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</si>
  <si>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</si>
  <si>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</si>
  <si>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</si>
  <si>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</si>
  <si>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</si>
  <si>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</si>
  <si>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</si>
  <si>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</si>
  <si>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</si>
  <si>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</si>
  <si>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</si>
  <si>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</si>
  <si>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</si>
  <si>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</si>
  <si>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</si>
  <si>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</si>
  <si>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</si>
  <si>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</si>
  <si>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</si>
  <si>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</si>
  <si>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</si>
  <si>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</si>
  <si>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</si>
  <si>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</si>
  <si>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</si>
  <si>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</si>
  <si>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</si>
  <si>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</si>
  <si>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</si>
  <si>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</si>
  <si>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</si>
  <si>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</si>
  <si>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</si>
  <si>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</si>
  <si>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</si>
  <si>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</si>
  <si>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</si>
  <si>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</si>
  <si>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</si>
  <si>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</si>
  <si>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</si>
  <si>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</si>
  <si>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</si>
  <si>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</si>
  <si>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</si>
  <si>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</si>
  <si>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</si>
  <si>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</si>
  <si>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</si>
  <si>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</si>
  <si>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</si>
  <si>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</si>
  <si>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</si>
  <si>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</si>
  <si>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</si>
  <si>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</si>
  <si>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</si>
  <si>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</si>
  <si>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</si>
  <si>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</si>
  <si>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</si>
  <si>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</si>
  <si>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</si>
  <si>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</si>
  <si>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</si>
  <si>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</si>
  <si>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</si>
  <si>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</si>
  <si>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</si>
  <si>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</si>
  <si>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</si>
  <si>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</si>
  <si>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</si>
  <si>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</si>
  <si>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</si>
  <si>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</si>
  <si>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</si>
  <si>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</si>
  <si>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</si>
  <si>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</si>
  <si>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</si>
  <si>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</si>
  <si>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</si>
  <si>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</si>
  <si>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</si>
  <si>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</si>
  <si>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</si>
  <si>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</si>
  <si>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</si>
  <si>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</si>
  <si>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</si>
  <si>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</si>
  <si>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</si>
  <si>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</si>
  <si>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</si>
  <si>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</si>
  <si>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</si>
  <si>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</si>
  <si>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</si>
  <si>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</si>
  <si>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</si>
  <si>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</si>
  <si>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</si>
  <si>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</si>
  <si>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</si>
  <si>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</si>
  <si>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</si>
  <si>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</si>
  <si>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</si>
  <si>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</si>
  <si>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</si>
  <si>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</si>
  <si>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</si>
  <si>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</si>
  <si>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</si>
  <si>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</si>
  <si>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</si>
  <si>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</si>
  <si>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</si>
  <si>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</si>
  <si>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</si>
  <si>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</si>
  <si>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</si>
  <si>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</si>
  <si>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</si>
  <si>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</si>
  <si>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</si>
  <si>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</si>
  <si>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</si>
  <si>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</si>
  <si>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</si>
  <si>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</si>
  <si>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</si>
  <si>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</si>
  <si>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</si>
  <si>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</si>
  <si>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</si>
  <si>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</si>
  <si>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</si>
  <si>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</si>
  <si>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</si>
  <si>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</si>
  <si>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</si>
  <si>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</si>
  <si>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</si>
  <si>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</si>
  <si>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</si>
  <si>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</si>
  <si>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</si>
  <si>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</si>
  <si>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</si>
  <si>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</si>
  <si>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</si>
  <si>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</si>
  <si>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</si>
  <si>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</si>
  <si>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</si>
  <si>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</si>
  <si>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</si>
  <si>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</si>
  <si>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</si>
  <si>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</si>
  <si>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</si>
  <si>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</si>
  <si>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</si>
  <si>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</si>
  <si>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</si>
  <si>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</si>
  <si>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</si>
  <si>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</si>
  <si>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</si>
  <si>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</si>
  <si>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</si>
  <si>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</si>
  <si>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</si>
  <si>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</si>
  <si>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</si>
  <si>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</si>
  <si>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</si>
  <si>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</si>
  <si>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</si>
  <si>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</si>
  <si>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</si>
  <si>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</si>
  <si>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</si>
  <si>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</si>
  <si>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</si>
  <si>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</si>
  <si>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</si>
  <si>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</si>
  <si>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</si>
  <si>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</si>
  <si>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</si>
  <si>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</si>
  <si>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</si>
  <si>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</si>
  <si>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</si>
  <si>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</si>
  <si>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</si>
  <si>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</si>
  <si>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</si>
  <si>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</si>
  <si>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</si>
  <si>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</si>
  <si>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</si>
  <si>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</si>
  <si>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</si>
  <si>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</si>
  <si>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</si>
  <si>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</si>
  <si>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</si>
  <si>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</si>
  <si>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</si>
  <si>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</si>
  <si>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</si>
  <si>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</si>
  <si>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</si>
  <si>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</si>
  <si>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</si>
  <si>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</si>
  <si>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</si>
  <si>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</si>
  <si>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</si>
  <si>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</si>
  <si>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</si>
  <si>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</si>
  <si>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</si>
  <si>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</si>
  <si>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</si>
  <si>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</si>
  <si>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</si>
  <si>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</si>
  <si>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</si>
  <si>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</si>
  <si>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</si>
  <si>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</si>
  <si>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</si>
  <si>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</si>
  <si>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</si>
  <si>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</si>
  <si>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</si>
  <si>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</si>
  <si>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</si>
  <si>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</si>
  <si>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</si>
  <si>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</si>
  <si>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</si>
  <si>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</si>
  <si>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</si>
  <si>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</si>
  <si>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</si>
  <si>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</si>
  <si>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</si>
  <si>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</si>
  <si>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</si>
  <si>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</si>
  <si>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</si>
  <si>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</si>
  <si>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</si>
  <si>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</si>
  <si>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</si>
  <si>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</si>
  <si>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</si>
  <si>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</si>
  <si>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</si>
  <si>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</si>
  <si>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</si>
  <si>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</si>
  <si>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</si>
  <si>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</si>
  <si>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</si>
  <si>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</si>
  <si>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</si>
  <si>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</si>
  <si>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</si>
  <si>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</si>
  <si>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</si>
  <si>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</si>
  <si>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</si>
  <si>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</si>
  <si>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</si>
  <si>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</si>
  <si>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</si>
  <si>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</si>
  <si>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</si>
  <si>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</si>
  <si>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</si>
  <si>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</si>
  <si>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</si>
  <si>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</si>
  <si>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</si>
  <si>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</si>
  <si>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</si>
  <si>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</si>
  <si>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</si>
  <si>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</si>
  <si>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</si>
  <si>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</si>
  <si>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</si>
  <si>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</si>
  <si>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</si>
  <si>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</si>
  <si>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</si>
  <si>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</si>
  <si>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</si>
  <si>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</si>
  <si>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</si>
  <si>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</si>
  <si>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</si>
  <si>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</si>
  <si>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</si>
  <si>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</si>
  <si>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</si>
  <si>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</si>
  <si>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</si>
  <si>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</si>
  <si>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</si>
  <si>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</si>
  <si>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</si>
  <si>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</si>
  <si>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</si>
  <si>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</si>
  <si>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</si>
  <si>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</si>
  <si>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</si>
  <si>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</si>
  <si>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</si>
  <si>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</si>
  <si>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</si>
  <si>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</si>
  <si>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</si>
  <si>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</si>
  <si>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</si>
  <si>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</si>
  <si>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</si>
  <si>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</si>
  <si>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</si>
  <si>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</si>
  <si>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</si>
  <si>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</si>
  <si>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</si>
  <si>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</si>
  <si>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</si>
  <si>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</si>
  <si>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</si>
  <si>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</si>
  <si>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</si>
  <si>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</si>
  <si>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</si>
  <si>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</si>
  <si>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</si>
  <si>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</si>
  <si>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</si>
  <si>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</si>
  <si>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</si>
  <si>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</si>
  <si>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</si>
  <si>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</si>
  <si>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</si>
  <si>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</si>
  <si>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</si>
  <si>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</si>
  <si>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</si>
  <si>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</si>
  <si>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</si>
  <si>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</si>
  <si>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</si>
  <si>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</si>
  <si>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</si>
  <si>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</si>
  <si>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</si>
  <si>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</si>
  <si>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</si>
  <si>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</si>
  <si>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</si>
  <si>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</si>
  <si>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</si>
  <si>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</si>
  <si>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</si>
  <si>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</si>
  <si>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</si>
  <si>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</si>
  <si>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</si>
  <si>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</si>
  <si>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</si>
  <si>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</si>
  <si>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</si>
  <si>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</si>
  <si>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</si>
  <si>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</si>
  <si>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</si>
  <si>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</si>
  <si>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</si>
  <si>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</si>
  <si>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</si>
  <si>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</si>
  <si>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</si>
  <si>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</si>
  <si>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</si>
  <si>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</si>
  <si>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</si>
  <si>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</si>
  <si>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</si>
  <si>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</si>
  <si>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</si>
  <si>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</si>
  <si>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</si>
  <si>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</si>
  <si>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</si>
  <si>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</si>
  <si>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</si>
  <si>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</si>
  <si>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</si>
  <si>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</si>
  <si>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</si>
  <si>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</si>
  <si>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</si>
  <si>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</si>
  <si>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</si>
  <si>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</si>
  <si>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</si>
  <si>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</si>
  <si>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</si>
  <si>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</si>
  <si>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</si>
  <si>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</si>
  <si>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</si>
  <si>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</si>
  <si>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</si>
  <si>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</si>
  <si>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</si>
  <si>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</si>
  <si>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</si>
  <si>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</si>
  <si>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</si>
  <si>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</si>
  <si>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</si>
  <si>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</si>
  <si>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</si>
  <si>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</si>
  <si>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</si>
  <si>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</si>
  <si>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</si>
  <si>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</si>
  <si>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</si>
  <si>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</si>
  <si>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</si>
  <si>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</si>
  <si>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</si>
  <si>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</si>
  <si>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</si>
  <si>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</si>
  <si>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</si>
  <si>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</si>
  <si>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</si>
  <si>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</si>
  <si>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</si>
  <si>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</si>
  <si>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</si>
  <si>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</si>
  <si>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</si>
  <si>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</si>
  <si>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</si>
  <si>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</si>
  <si>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</si>
  <si>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</si>
  <si>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</si>
  <si>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</si>
  <si>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</si>
  <si>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</si>
  <si>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</si>
  <si>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</si>
  <si>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</si>
  <si>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</si>
  <si>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</si>
  <si>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</si>
  <si>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</si>
  <si>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</si>
  <si>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</si>
  <si>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</si>
  <si>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</si>
  <si>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</si>
  <si>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</si>
  <si>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</si>
  <si>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</si>
  <si>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</si>
  <si>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</si>
  <si>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</si>
  <si>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</si>
  <si>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</si>
  <si>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</si>
  <si>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</si>
  <si>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</si>
  <si>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</si>
  <si>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</si>
  <si>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</si>
  <si>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</si>
  <si>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</si>
  <si>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</si>
  <si>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</si>
  <si>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</si>
  <si>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</si>
  <si>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</si>
  <si>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</si>
  <si>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</si>
  <si>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</si>
  <si>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</si>
  <si>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</si>
  <si>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</si>
  <si>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</si>
  <si>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</si>
  <si>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</si>
  <si>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</si>
  <si>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</si>
  <si>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</si>
  <si>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</si>
  <si>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</si>
  <si>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</si>
  <si>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</si>
  <si>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</si>
  <si>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</si>
  <si>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</si>
  <si>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</si>
  <si>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</si>
  <si>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</si>
  <si>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</si>
  <si>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</si>
  <si>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</si>
  <si>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</si>
  <si>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</si>
  <si>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</si>
  <si>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</si>
  <si>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</si>
  <si>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</si>
  <si>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</si>
  <si>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</si>
  <si>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</si>
  <si>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</si>
  <si>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</si>
  <si>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</si>
  <si>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</si>
  <si>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</si>
  <si>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</si>
  <si>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</si>
  <si>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</si>
  <si>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</si>
  <si>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</si>
  <si>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</si>
  <si>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</si>
  <si>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</si>
  <si>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</si>
  <si>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</si>
  <si>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</si>
  <si>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</si>
  <si>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</si>
  <si>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</si>
  <si>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</si>
  <si>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</si>
  <si>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</si>
  <si>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</si>
  <si>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</si>
  <si>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</si>
  <si>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</si>
  <si>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</si>
  <si>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</si>
  <si>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</si>
  <si>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</si>
  <si>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</si>
  <si>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</si>
  <si>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</si>
  <si>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</si>
  <si>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</si>
  <si>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</si>
  <si>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</si>
  <si>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</si>
  <si>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</si>
  <si>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</si>
  <si>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</si>
  <si>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</si>
  <si>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</si>
  <si>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</si>
  <si>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</si>
  <si>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</si>
  <si>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</si>
  <si>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</si>
  <si>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</si>
  <si>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</si>
  <si>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</si>
  <si>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</si>
  <si>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</si>
  <si>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</si>
  <si>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</si>
  <si>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</si>
  <si>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</si>
  <si>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</si>
  <si>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</si>
  <si>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</si>
  <si>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</si>
  <si>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</si>
  <si>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</si>
  <si>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</si>
  <si>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</si>
  <si>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</si>
  <si>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</si>
  <si>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</si>
  <si>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</si>
  <si>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</si>
  <si>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</si>
  <si>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</si>
  <si>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</si>
  <si>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</si>
  <si>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</si>
  <si>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</si>
  <si>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</si>
  <si>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</si>
  <si>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</si>
  <si>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</si>
  <si>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</si>
  <si>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</si>
  <si>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</si>
  <si>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</si>
  <si>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</si>
  <si>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</si>
  <si>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</si>
  <si>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</si>
  <si>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</si>
  <si>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</si>
  <si>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</si>
  <si>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</si>
  <si>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</si>
  <si>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</si>
  <si>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</si>
  <si>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</si>
  <si>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</si>
  <si>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</si>
  <si>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</si>
  <si>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</si>
  <si>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</si>
  <si>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</si>
  <si>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</si>
  <si>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</si>
  <si>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</si>
  <si>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</si>
  <si>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</si>
  <si>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</si>
  <si>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</si>
  <si>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</si>
  <si>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</si>
  <si>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</si>
  <si>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</si>
  <si>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</si>
  <si>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</si>
  <si>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</si>
  <si>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</si>
  <si>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</si>
  <si>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</si>
  <si>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</si>
  <si>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</si>
  <si>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</si>
  <si>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</si>
  <si>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</si>
  <si>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</si>
  <si>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</si>
  <si>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</si>
  <si>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</si>
  <si>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</si>
  <si>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</si>
  <si>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</si>
  <si>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</si>
  <si>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</si>
  <si>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</si>
  <si>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</si>
  <si>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</si>
  <si>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</si>
  <si>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</si>
  <si>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</si>
  <si>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</si>
  <si>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</si>
  <si>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</si>
  <si>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</si>
  <si>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</si>
  <si>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</si>
  <si>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</si>
  <si>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</si>
  <si>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</si>
  <si>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</si>
  <si>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</si>
  <si>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</si>
  <si>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</si>
  <si>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</si>
  <si>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</si>
  <si>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</si>
  <si>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</si>
  <si>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</si>
  <si>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</si>
  <si>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</si>
  <si>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</si>
  <si>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</si>
  <si>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</si>
  <si>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</si>
  <si>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</si>
  <si>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</si>
  <si>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</si>
  <si>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</si>
  <si>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</si>
  <si>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</si>
  <si>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</si>
  <si>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</si>
  <si>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</si>
  <si>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</si>
  <si>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</si>
  <si>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</si>
  <si>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</si>
  <si>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</si>
  <si>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</si>
  <si>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</si>
  <si>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</si>
  <si>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</si>
  <si>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</si>
  <si>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</si>
  <si>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</si>
  <si>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</si>
  <si>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</si>
  <si>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</si>
  <si>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</si>
  <si>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</si>
  <si>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</si>
  <si>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</si>
  <si>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</si>
  <si>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</si>
  <si>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</si>
  <si>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</si>
  <si>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</si>
  <si>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</si>
  <si>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</si>
  <si>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</si>
  <si>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</si>
  <si>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</si>
  <si>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</si>
  <si>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</si>
  <si>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</si>
  <si>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</si>
  <si>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</si>
  <si>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</si>
  <si>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</si>
  <si>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</si>
  <si>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</si>
  <si>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</si>
  <si>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</si>
  <si>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</si>
  <si>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</si>
  <si>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</si>
  <si>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</si>
  <si>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</si>
  <si>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</si>
  <si>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</si>
  <si>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</si>
  <si>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</si>
  <si>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</si>
  <si>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</si>
  <si>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</si>
  <si>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</si>
  <si>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</si>
  <si>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</si>
  <si>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</si>
  <si>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</si>
  <si>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</si>
  <si>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</si>
  <si>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</si>
  <si>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</si>
  <si>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</si>
  <si>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</si>
  <si>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</si>
  <si>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</si>
  <si>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</si>
  <si>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</si>
  <si>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</si>
  <si>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</si>
  <si>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</si>
  <si>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</si>
  <si>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</si>
  <si>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</si>
  <si>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</si>
  <si>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</si>
  <si>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</si>
  <si>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</si>
  <si>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</si>
  <si>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</si>
  <si>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</si>
  <si>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</si>
  <si>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</si>
  <si>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</si>
  <si>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</si>
  <si>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</si>
  <si>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</si>
  <si>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</si>
  <si>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</si>
  <si>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</si>
  <si>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</si>
  <si>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</si>
  <si>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</si>
  <si>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</si>
  <si>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</si>
  <si>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</si>
  <si>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</si>
  <si>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</si>
  <si>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</si>
  <si>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</si>
  <si>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</si>
  <si>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</si>
  <si>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</si>
  <si>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</si>
  <si>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</si>
  <si>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</si>
  <si>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</si>
  <si>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</si>
  <si>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</si>
  <si>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</si>
  <si>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</si>
  <si>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</si>
  <si>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</si>
  <si>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</si>
  <si>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</si>
  <si>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</si>
  <si>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</si>
  <si>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</si>
  <si>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</si>
  <si>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</si>
  <si>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</si>
  <si>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</si>
  <si>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</si>
  <si>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</si>
  <si>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</si>
  <si>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</si>
  <si>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</si>
  <si>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</si>
  <si>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</si>
  <si>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</si>
  <si>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</si>
  <si>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</si>
  <si>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</si>
  <si>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</si>
  <si>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</si>
  <si>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</si>
  <si>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</si>
  <si>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</si>
  <si>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</si>
  <si>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</si>
  <si>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</si>
  <si>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</si>
  <si>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</si>
  <si>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</si>
  <si>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</si>
  <si>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</si>
  <si>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</si>
  <si>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</si>
  <si>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</si>
  <si>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</si>
  <si>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</si>
  <si>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</si>
  <si>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</si>
  <si>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</si>
  <si>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</si>
  <si>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</si>
  <si>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</si>
  <si>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</si>
  <si>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</si>
  <si>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</si>
  <si>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</si>
  <si>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</si>
  <si>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</si>
  <si>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</si>
  <si>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</si>
  <si>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</si>
  <si>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</si>
  <si>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</si>
  <si>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</si>
  <si>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</si>
  <si>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</si>
  <si>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</si>
  <si>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</si>
  <si>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</si>
  <si>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</si>
  <si>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</si>
  <si>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</si>
  <si>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</si>
  <si>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</si>
  <si>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</si>
  <si>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</si>
  <si>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</si>
  <si>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</si>
  <si>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</si>
  <si>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</si>
  <si>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</si>
  <si>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</si>
  <si>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</si>
  <si>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</si>
  <si>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</si>
  <si>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</si>
  <si>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</si>
  <si>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</si>
  <si>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</si>
  <si>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</si>
  <si>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</si>
  <si>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</si>
  <si>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</si>
  <si>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</si>
  <si>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</si>
  <si>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</si>
  <si>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</si>
  <si>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</si>
  <si>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</si>
  <si>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</si>
  <si>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</si>
  <si>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</si>
  <si>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</si>
  <si>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</si>
  <si>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</si>
  <si>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</si>
  <si>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</si>
  <si>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</si>
  <si>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</si>
  <si>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</si>
  <si>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</si>
  <si>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</si>
  <si>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</si>
  <si>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</si>
  <si>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</si>
  <si>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</si>
  <si>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</si>
  <si>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</si>
  <si>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</si>
  <si>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</si>
  <si>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</si>
  <si>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</si>
  <si>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</si>
  <si>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</si>
  <si>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</si>
  <si>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</si>
  <si>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</si>
  <si>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</si>
  <si>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</si>
  <si>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</si>
  <si>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</si>
  <si>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</si>
  <si>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</si>
  <si>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</si>
  <si>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</si>
  <si>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</si>
  <si>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</si>
  <si>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</si>
  <si>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</si>
  <si>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</si>
  <si>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</si>
  <si>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</si>
  <si>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</si>
  <si>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</si>
  <si>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</si>
  <si>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</si>
  <si>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</si>
  <si>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</si>
  <si>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</si>
  <si>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</si>
  <si>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</si>
  <si>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</si>
  <si>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</si>
  <si>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</si>
  <si>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</si>
  <si>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</si>
  <si>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</si>
  <si>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</si>
  <si>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</si>
  <si>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</si>
  <si>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</si>
  <si>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</si>
  <si>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</si>
  <si>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</si>
  <si>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</si>
  <si>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</si>
  <si>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</si>
  <si>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</si>
  <si>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</si>
  <si>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</si>
  <si>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</si>
  <si>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</si>
  <si>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</si>
  <si>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</si>
  <si>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</si>
  <si>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</si>
  <si>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</si>
  <si>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</si>
  <si>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</si>
  <si>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</si>
  <si>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</si>
  <si>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</si>
  <si>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</si>
  <si>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</si>
  <si>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</si>
  <si>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</si>
  <si>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</si>
  <si>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</si>
  <si>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</si>
  <si>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</si>
  <si>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</si>
  <si>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</si>
  <si>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</si>
  <si>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</si>
  <si>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</si>
  <si>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</si>
  <si>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</si>
  <si>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</si>
  <si>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</si>
  <si>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</si>
  <si>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</si>
  <si>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</si>
  <si>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</si>
  <si>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</si>
  <si>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</si>
  <si>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</si>
  <si>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</si>
  <si>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</si>
  <si>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</si>
  <si>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</si>
  <si>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</si>
  <si>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</si>
  <si>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</si>
  <si>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</si>
  <si>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</si>
  <si>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</si>
  <si>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</si>
  <si>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</si>
  <si>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</si>
  <si>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</si>
  <si>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</si>
  <si>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</si>
  <si>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</si>
  <si>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</si>
  <si>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</si>
  <si>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</si>
  <si>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</si>
  <si>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</si>
  <si>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</si>
  <si>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</si>
  <si>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</si>
  <si>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</si>
  <si>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</si>
  <si>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</si>
  <si>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</si>
  <si>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</si>
  <si>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</si>
  <si>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</si>
  <si>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</si>
  <si>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</si>
  <si>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</si>
  <si>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</si>
  <si>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</si>
  <si>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</si>
  <si>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</si>
  <si>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</si>
  <si>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</si>
  <si>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</si>
  <si>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</si>
  <si>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</si>
  <si>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</si>
  <si>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</si>
  <si>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</si>
  <si>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</si>
  <si>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</si>
  <si>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</si>
  <si>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</si>
  <si>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</si>
  <si>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</si>
  <si>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</si>
  <si>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</si>
  <si>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</si>
  <si>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</si>
  <si>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</si>
  <si>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</si>
  <si>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</si>
  <si>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</si>
  <si>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</si>
  <si>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</si>
  <si>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</si>
  <si>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</si>
  <si>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</si>
  <si>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</si>
  <si>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</si>
  <si>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</si>
  <si>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</si>
  <si>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</si>
  <si>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</si>
  <si>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</si>
  <si>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</si>
  <si>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</si>
  <si>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</si>
  <si>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</si>
  <si>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</si>
  <si>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</si>
  <si>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</si>
  <si>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</si>
  <si>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</si>
  <si>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</si>
  <si>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</si>
  <si>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</si>
  <si>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</si>
  <si>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</si>
  <si>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</si>
  <si>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</si>
  <si>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</si>
  <si>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</si>
  <si>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</si>
  <si>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</si>
  <si>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</si>
  <si>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</si>
  <si>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</si>
  <si>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</si>
  <si>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</si>
  <si>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</si>
  <si>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</si>
  <si>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</si>
  <si>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</si>
  <si>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</si>
  <si>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</si>
  <si>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</si>
  <si>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</si>
  <si>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</si>
  <si>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</si>
  <si>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</si>
  <si>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</si>
  <si>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</si>
  <si>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</si>
  <si>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</si>
  <si>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</si>
  <si>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</si>
  <si>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</si>
  <si>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</si>
  <si>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</si>
  <si>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</si>
  <si>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</si>
  <si>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</si>
  <si>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</si>
  <si>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</si>
  <si>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</si>
  <si>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</si>
  <si>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</si>
  <si>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</si>
  <si>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</si>
  <si>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</si>
  <si>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</si>
  <si>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</si>
  <si>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</si>
  <si>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</si>
  <si>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</si>
  <si>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</si>
  <si>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</si>
  <si>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</si>
  <si>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</si>
  <si>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</si>
  <si>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</si>
  <si>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</si>
  <si>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</si>
  <si>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</si>
  <si>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</si>
  <si>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</si>
  <si>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</si>
  <si>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</si>
  <si>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</si>
  <si>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</si>
  <si>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</si>
  <si>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</si>
  <si>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</si>
  <si>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</si>
  <si>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</si>
  <si>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</si>
  <si>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</si>
  <si>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</si>
  <si>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</si>
  <si>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</si>
  <si>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</si>
  <si>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</si>
  <si>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</si>
  <si>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</si>
  <si>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</si>
  <si>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</si>
  <si>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</si>
  <si>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</si>
  <si>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</si>
  <si>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</si>
  <si>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</si>
  <si>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</si>
  <si>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</si>
  <si>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</si>
  <si>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</si>
  <si>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</si>
  <si>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</si>
  <si>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</si>
  <si>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</si>
  <si>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</si>
  <si>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</si>
  <si>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</si>
  <si>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</si>
  <si>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</si>
  <si>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</si>
  <si>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</si>
  <si>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</si>
  <si>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</si>
  <si>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</si>
  <si>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</si>
  <si>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</si>
  <si>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</si>
  <si>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</si>
  <si>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</si>
  <si>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</si>
  <si>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</si>
  <si>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</si>
  <si>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</si>
  <si>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</si>
  <si>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</si>
  <si>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</si>
  <si>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</si>
  <si>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</si>
  <si>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</si>
  <si>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</si>
  <si>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</si>
  <si>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</si>
  <si>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</si>
  <si>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</si>
  <si>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</si>
  <si>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</si>
  <si>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</si>
  <si>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</si>
  <si>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</si>
  <si>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</si>
  <si>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</si>
  <si>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</si>
  <si>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</si>
  <si>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</si>
  <si>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</si>
  <si>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</si>
  <si>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</si>
  <si>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</si>
  <si>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</si>
  <si>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</si>
  <si>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</si>
  <si>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</si>
  <si>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</si>
  <si>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</si>
  <si>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</si>
  <si>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</si>
  <si>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</si>
  <si>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</si>
  <si>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</si>
  <si>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</si>
  <si>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</si>
  <si>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</si>
  <si>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</si>
  <si>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</si>
  <si>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</si>
  <si>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</si>
  <si>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</si>
  <si>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</si>
  <si>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</si>
  <si>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</si>
  <si>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</si>
  <si>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</si>
  <si>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</si>
  <si>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</si>
  <si>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</si>
  <si>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</si>
  <si>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</si>
  <si>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</si>
  <si>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</si>
  <si>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</si>
  <si>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</si>
  <si>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</si>
  <si>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</si>
  <si>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</si>
  <si>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</si>
  <si>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</si>
  <si>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</si>
  <si>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</si>
  <si>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</si>
  <si>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</si>
  <si>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</si>
  <si>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</si>
  <si>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</si>
  <si>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</si>
  <si>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</si>
  <si>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</si>
  <si>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</si>
  <si>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</si>
  <si>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</si>
  <si>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</si>
  <si>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</si>
  <si>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</si>
  <si>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</si>
  <si>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</si>
  <si>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</si>
  <si>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</si>
  <si>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</si>
  <si>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</si>
  <si>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</si>
  <si>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</si>
  <si>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</si>
  <si>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</si>
  <si>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</si>
  <si>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</si>
  <si>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</si>
  <si>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</si>
  <si>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</si>
  <si>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</si>
  <si>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</si>
  <si>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</si>
  <si>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</si>
  <si>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</si>
  <si>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</si>
  <si>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</si>
  <si>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</si>
  <si>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</si>
  <si>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</si>
  <si>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</si>
  <si>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</si>
  <si>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</si>
  <si>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</si>
  <si>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</si>
  <si>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</si>
  <si>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</si>
  <si>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</si>
  <si>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</si>
  <si>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</si>
  <si>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</si>
  <si>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</si>
  <si>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</si>
  <si>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</si>
  <si>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</si>
  <si>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</si>
  <si>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</si>
  <si>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</si>
  <si>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</si>
  <si>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</si>
  <si>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</si>
  <si>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</si>
  <si>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</si>
  <si>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</si>
  <si>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</si>
  <si>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</si>
  <si>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</si>
  <si>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</si>
  <si>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</si>
  <si>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</si>
  <si>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</si>
  <si>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</si>
  <si>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</si>
  <si>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</si>
  <si>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</si>
  <si>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</si>
  <si>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</si>
  <si>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</si>
  <si>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</si>
  <si>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</si>
  <si>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</si>
  <si>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</si>
  <si>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</si>
  <si>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</si>
  <si>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</si>
  <si>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</si>
  <si>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</si>
  <si>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</si>
  <si>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</si>
  <si>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</si>
  <si>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</si>
  <si>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</si>
  <si>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</si>
  <si>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</si>
  <si>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</si>
  <si>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</si>
  <si>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</si>
  <si>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</si>
  <si>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</si>
  <si>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</si>
  <si>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</si>
  <si>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</si>
  <si>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</si>
  <si>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</si>
  <si>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</si>
  <si>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</si>
  <si>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</si>
  <si>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</si>
  <si>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</si>
  <si>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</si>
  <si>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</si>
  <si>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</si>
  <si>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</si>
  <si>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</si>
  <si>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</si>
  <si>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</si>
  <si>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</si>
  <si>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</si>
  <si>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</si>
  <si>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</si>
  <si>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</si>
  <si>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</si>
  <si>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</si>
  <si>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</si>
  <si>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</si>
  <si>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</si>
  <si>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</si>
  <si>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</si>
  <si>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</si>
  <si>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</si>
  <si>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</si>
  <si>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</si>
  <si>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</si>
  <si>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</si>
  <si>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</si>
  <si>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</si>
  <si>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</si>
  <si>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</si>
  <si>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</si>
  <si>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</si>
  <si>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</si>
  <si>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</si>
  <si>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</si>
  <si>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</si>
  <si>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</si>
  <si>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</si>
  <si>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</si>
  <si>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</si>
  <si>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</si>
  <si>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</si>
  <si>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</si>
  <si>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</si>
  <si>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</si>
  <si>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</si>
  <si>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</si>
  <si>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</si>
  <si>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</si>
  <si>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</si>
  <si>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</si>
  <si>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</si>
  <si>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</si>
  <si>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</si>
  <si>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</si>
  <si>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</si>
  <si>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</si>
  <si>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</si>
  <si>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</si>
  <si>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</si>
  <si>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</si>
  <si>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</si>
  <si>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</si>
  <si>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</si>
  <si>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</si>
  <si>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</si>
  <si>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</si>
  <si>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</si>
  <si>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</si>
  <si>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</si>
  <si>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</si>
  <si>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</si>
  <si>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</si>
  <si>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</si>
  <si>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</si>
  <si>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</si>
  <si>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</si>
  <si>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</si>
  <si>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</si>
  <si>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</si>
  <si>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</si>
  <si>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</si>
  <si>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</si>
  <si>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</si>
  <si>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</si>
  <si>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</si>
  <si>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</si>
  <si>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</si>
  <si>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</si>
  <si>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</si>
  <si>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</si>
  <si>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</si>
  <si>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</si>
  <si>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</si>
  <si>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</si>
  <si>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</si>
  <si>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</si>
  <si>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</si>
  <si>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</si>
  <si>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</si>
  <si>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</si>
  <si>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</si>
  <si>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</si>
  <si>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</si>
  <si>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</si>
  <si>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</si>
  <si>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</si>
  <si>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</si>
  <si>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</si>
  <si>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</si>
  <si>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</si>
  <si>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</si>
  <si>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</si>
  <si>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</si>
  <si>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</si>
  <si>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</si>
  <si>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</si>
  <si>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</si>
  <si>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</si>
  <si>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</si>
  <si>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</si>
  <si>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</si>
  <si>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</si>
  <si>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</si>
  <si>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</si>
  <si>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</si>
  <si>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</si>
  <si>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</si>
  <si>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</si>
  <si>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</si>
  <si>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</si>
  <si>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</si>
  <si>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</si>
  <si>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</si>
  <si>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</si>
  <si>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</si>
  <si>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</si>
  <si>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</si>
  <si>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</si>
  <si>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</si>
  <si>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</si>
  <si>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</si>
  <si>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</si>
  <si>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</si>
  <si>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</si>
  <si>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</si>
  <si>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</si>
  <si>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</si>
  <si>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</si>
  <si>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</si>
  <si>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</si>
  <si>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</si>
  <si>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</si>
  <si>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</si>
  <si>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</si>
  <si>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</si>
  <si>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</si>
  <si>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</si>
  <si>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</si>
  <si>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</si>
  <si>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</si>
  <si>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</si>
  <si>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</si>
  <si>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</si>
  <si>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</si>
  <si>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</si>
  <si>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</si>
  <si>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</si>
  <si>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</si>
  <si>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</si>
  <si>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</si>
  <si>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</si>
  <si>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</si>
  <si>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</si>
  <si>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</si>
  <si>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</si>
  <si>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</si>
  <si>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</si>
  <si>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</si>
  <si>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</si>
  <si>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</si>
  <si>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</si>
  <si>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</si>
  <si>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</si>
  <si>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</si>
  <si>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</si>
  <si>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</si>
  <si>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</si>
  <si>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</si>
  <si>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</si>
  <si>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</si>
  <si>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</si>
  <si>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</si>
  <si>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</si>
  <si>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</si>
  <si>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</si>
  <si>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</si>
  <si>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</si>
  <si>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</si>
  <si>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</si>
  <si>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</si>
  <si>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</si>
  <si>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</si>
  <si>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</si>
  <si>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</si>
  <si>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</si>
  <si>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</si>
  <si>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</si>
  <si>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</si>
  <si>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</si>
  <si>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</si>
  <si>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</si>
  <si>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</si>
  <si>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</si>
  <si>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</si>
  <si>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</si>
  <si>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</si>
  <si>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</si>
  <si>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</si>
  <si>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</si>
  <si>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</si>
  <si>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</si>
  <si>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</si>
  <si>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</si>
  <si>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</si>
  <si>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</si>
  <si>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</si>
  <si>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</si>
  <si>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</si>
  <si>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</si>
  <si>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</si>
  <si>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</si>
  <si>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</si>
  <si>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</si>
  <si>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</si>
  <si>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</si>
  <si>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</si>
  <si>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</si>
  <si>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</si>
  <si>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</si>
  <si>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</si>
  <si>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</si>
  <si>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</si>
  <si>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</si>
  <si>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</si>
  <si>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</si>
  <si>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</si>
  <si>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</si>
  <si>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</si>
  <si>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</si>
  <si>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</si>
  <si>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</si>
  <si>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</si>
  <si>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</si>
  <si>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</si>
  <si>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</si>
  <si>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</si>
  <si>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</si>
  <si>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</si>
  <si>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</si>
  <si>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</si>
  <si>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</si>
  <si>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</si>
  <si>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</si>
  <si>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</si>
  <si>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</si>
  <si>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</si>
  <si>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</si>
  <si>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</si>
  <si>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</si>
  <si>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</si>
  <si>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</si>
  <si>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</si>
  <si>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</si>
  <si>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</si>
  <si>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</si>
  <si>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</si>
  <si>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</si>
  <si>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</si>
  <si>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</si>
  <si>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</si>
  <si>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</si>
  <si>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</si>
  <si>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</si>
  <si>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</si>
  <si>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</si>
  <si>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</si>
  <si>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</si>
  <si>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</si>
  <si>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</si>
  <si>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</si>
  <si>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</si>
  <si>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</si>
  <si>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</si>
  <si>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</si>
  <si>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</si>
  <si>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</si>
  <si>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</si>
  <si>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</si>
  <si>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</si>
  <si>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</si>
  <si>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</si>
  <si>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</si>
  <si>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</si>
  <si>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</si>
  <si>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</si>
  <si>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</si>
  <si>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</si>
  <si>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</si>
  <si>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</si>
  <si>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</si>
  <si>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</si>
  <si>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</si>
  <si>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</si>
  <si>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</si>
  <si>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</si>
  <si>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</si>
  <si>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</si>
  <si>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</si>
  <si>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</si>
  <si>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</si>
  <si>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</si>
  <si>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</si>
  <si>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</si>
  <si>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</si>
  <si>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</si>
  <si>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</si>
  <si>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</si>
  <si>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</si>
  <si>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</si>
  <si>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</si>
  <si>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</si>
  <si>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</si>
  <si>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</si>
  <si>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</si>
  <si>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</si>
  <si>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</si>
  <si>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</si>
  <si>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</si>
  <si>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</si>
  <si>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</si>
  <si>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</si>
  <si>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</si>
  <si>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</si>
  <si>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</si>
  <si>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</si>
  <si>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</si>
  <si>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</si>
  <si>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</si>
  <si>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</si>
  <si>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</si>
  <si>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</si>
  <si>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</si>
  <si>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</si>
  <si>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</si>
  <si>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</si>
  <si>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</si>
  <si>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</si>
  <si>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</si>
  <si>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</si>
  <si>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</si>
  <si>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</si>
  <si>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</si>
  <si>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</si>
  <si>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</si>
  <si>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</si>
  <si>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</si>
  <si>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</si>
  <si>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</si>
  <si>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</si>
  <si>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</si>
  <si>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</si>
  <si>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</si>
  <si>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</si>
  <si>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</si>
  <si>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</si>
  <si>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</si>
  <si>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</si>
  <si>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</si>
  <si>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</si>
  <si>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</si>
  <si>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</si>
  <si>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</si>
  <si>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</si>
  <si>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</si>
  <si>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</si>
  <si>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</si>
  <si>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</si>
  <si>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</si>
  <si>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</si>
  <si>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</si>
  <si>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</si>
  <si>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</si>
  <si>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</si>
  <si>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</si>
  <si>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</si>
  <si>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</si>
  <si>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</si>
  <si>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</si>
  <si>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</si>
  <si>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</si>
  <si>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</si>
  <si>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</si>
  <si>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</si>
  <si>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</si>
  <si>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</si>
  <si>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</si>
  <si>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</si>
  <si>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</si>
  <si>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</si>
  <si>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</si>
  <si>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</si>
  <si>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</si>
  <si>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</si>
  <si>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</si>
  <si>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</si>
  <si>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</si>
  <si>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</si>
  <si>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</si>
  <si>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</si>
  <si>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</si>
  <si>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</si>
  <si>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</si>
  <si>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</si>
  <si>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</si>
  <si>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</si>
  <si>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</si>
  <si>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</si>
  <si>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</si>
  <si>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</si>
  <si>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</si>
  <si>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</si>
  <si>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</si>
  <si>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</si>
  <si>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</si>
  <si>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</si>
  <si>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</si>
  <si>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</si>
  <si>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</si>
  <si>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</si>
  <si>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</si>
  <si>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</si>
  <si>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</si>
  <si>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</si>
  <si>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</si>
  <si>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</si>
  <si>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</si>
  <si>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</si>
  <si>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</si>
  <si>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</si>
  <si>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</si>
  <si>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</si>
  <si>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</si>
  <si>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</si>
  <si>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</si>
  <si>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</si>
  <si>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</si>
  <si>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</si>
  <si>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</si>
  <si>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</si>
  <si>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</si>
  <si>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</si>
  <si>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</si>
  <si>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</si>
  <si>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</si>
  <si>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</si>
  <si>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</si>
  <si>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</si>
  <si>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</si>
  <si>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</si>
  <si>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</si>
  <si>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</si>
  <si>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</si>
  <si>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</si>
  <si>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</si>
  <si>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</si>
  <si>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</si>
  <si>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</si>
  <si>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</si>
  <si>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</si>
  <si>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</si>
  <si>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</si>
  <si>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</si>
  <si>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</si>
  <si>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</si>
  <si>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</si>
  <si>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</si>
  <si>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</si>
  <si>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</si>
  <si>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</si>
  <si>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</si>
  <si>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</si>
  <si>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</si>
  <si>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</si>
  <si>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</si>
  <si>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</si>
  <si>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</si>
  <si>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</si>
  <si>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</si>
  <si>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</si>
  <si>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</si>
  <si>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</si>
  <si>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</si>
  <si>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</si>
  <si>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</si>
  <si>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</si>
  <si>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</si>
  <si>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</si>
  <si>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</si>
  <si>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</si>
  <si>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</si>
  <si>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</si>
  <si>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</si>
  <si>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</si>
  <si>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</si>
  <si>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</si>
  <si>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</si>
  <si>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</si>
  <si>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</si>
  <si>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</si>
  <si>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</si>
  <si>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</si>
  <si>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</si>
  <si>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</si>
  <si>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</si>
  <si>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</si>
  <si>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</si>
  <si>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</si>
  <si>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</si>
  <si>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</si>
  <si>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</si>
  <si>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</si>
  <si>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</si>
  <si>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</si>
  <si>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</si>
  <si>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</si>
  <si>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</si>
  <si>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</si>
  <si>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</si>
  <si>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</si>
  <si>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</si>
  <si>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</si>
  <si>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</si>
  <si>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</si>
  <si>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</si>
  <si>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</si>
  <si>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</si>
  <si>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</si>
  <si>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</si>
  <si>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</si>
  <si>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</si>
  <si>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</si>
  <si>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</si>
  <si>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</si>
  <si>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</si>
  <si>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</si>
  <si>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</si>
  <si>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</si>
  <si>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</si>
  <si>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</si>
  <si>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</si>
  <si>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</si>
  <si>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</si>
  <si>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</si>
  <si>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</si>
  <si>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</si>
  <si>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</si>
  <si>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</si>
  <si>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</si>
  <si>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</si>
  <si>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</si>
  <si>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</si>
  <si>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</si>
  <si>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</si>
  <si>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</si>
  <si>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</si>
  <si>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</si>
  <si>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</si>
  <si>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</si>
  <si>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</si>
  <si>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</si>
  <si>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</si>
  <si>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</si>
  <si>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</si>
  <si>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</si>
  <si>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</si>
  <si>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</si>
  <si>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</si>
  <si>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</si>
  <si>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</si>
  <si>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</si>
  <si>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</si>
  <si>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</si>
  <si>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</si>
  <si>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</si>
  <si>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</si>
  <si>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</si>
  <si>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</si>
  <si>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</si>
  <si>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</si>
  <si>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</si>
  <si>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</si>
  <si>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</si>
  <si>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</si>
  <si>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</si>
  <si>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</si>
  <si>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</si>
  <si>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</si>
  <si>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</si>
  <si>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</si>
  <si>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</si>
  <si>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</si>
  <si>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</si>
  <si>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</si>
  <si>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</si>
  <si>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</si>
  <si>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</si>
  <si>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</si>
  <si>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</si>
  <si>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</si>
  <si>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</si>
  <si>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</si>
  <si>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</si>
  <si>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</si>
  <si>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</si>
  <si>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</si>
  <si>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</si>
  <si>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</si>
  <si>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</si>
  <si>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</si>
  <si>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</si>
  <si>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</si>
  <si>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</si>
  <si>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</si>
  <si>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</si>
  <si>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</si>
  <si>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</si>
  <si>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</si>
  <si>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</si>
  <si>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</si>
  <si>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</si>
  <si>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</si>
  <si>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</si>
  <si>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</si>
  <si>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</si>
  <si>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</si>
  <si>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</si>
  <si>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</si>
  <si>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</si>
  <si>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</si>
  <si>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</si>
  <si>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</si>
  <si>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</si>
  <si>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</si>
  <si>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</si>
  <si>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</si>
  <si>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</si>
  <si>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</si>
  <si>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</si>
  <si>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</si>
  <si>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</si>
  <si>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</si>
  <si>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MGB France</t>
  </si>
  <si>
    <t>105, Rue du Bargy - 74460 MARNAZ</t>
  </si>
  <si>
    <t>Damien GUIDO</t>
  </si>
  <si>
    <t>d.guido@mgb.fr</t>
  </si>
  <si>
    <t>00 33 450 182 770</t>
  </si>
  <si>
    <t>Environnement manager</t>
  </si>
  <si>
    <t>The requirement is established on our general purshasing conditions that the supplier must sign</t>
  </si>
  <si>
    <t>The requirement to be in compliance with CMRT is established on our general purshasing conditions</t>
  </si>
  <si>
    <t>We are working with well known suppliers in the market</t>
  </si>
  <si>
    <t>Route des Perveuils 8</t>
  </si>
  <si>
    <t>Mining, Recycled and scrap sources</t>
  </si>
  <si>
    <t>45-51 Tai Lin Pai Road</t>
  </si>
  <si>
    <t>Hong Kong SAR (see also separate country code entry under HK)</t>
  </si>
  <si>
    <t>8 Burch Street #01-06</t>
  </si>
  <si>
    <t>Buiding B, 48 Dongfu Road</t>
  </si>
  <si>
    <t>255 John L. Dietsch Boulevard</t>
  </si>
  <si>
    <t>CID003205</t>
  </si>
  <si>
    <t>PT Bangka Serumpun</t>
  </si>
  <si>
    <t>CID001460</t>
  </si>
  <si>
    <t>PT Refined Bangka Tin</t>
  </si>
  <si>
    <t>Alpha</t>
  </si>
  <si>
    <t>Bairro Guarapiranga</t>
  </si>
  <si>
    <t>Yuxing Shang</t>
  </si>
  <si>
    <t>Yuxing.Shang@metalor.com</t>
  </si>
  <si>
    <t>Mining, recycled and scrap sources</t>
  </si>
  <si>
    <t>selon informations déclarées par nos fourniseurs ( non vérifié par LEGENI ).</t>
  </si>
  <si>
    <t>Ada Yu</t>
  </si>
  <si>
    <t>Ada.Yu@metalor.com</t>
  </si>
  <si>
    <t>8 Buroh Street #01-06</t>
  </si>
  <si>
    <t>KL Yap</t>
  </si>
  <si>
    <t>KL.Yap@metalor.com</t>
  </si>
  <si>
    <t>Bernie Chen</t>
  </si>
  <si>
    <t>Bernie.Chen@metalor.com</t>
  </si>
  <si>
    <t>255 Jonh L. Dietsch Boulevard</t>
  </si>
  <si>
    <t>Samantha McCourt</t>
  </si>
  <si>
    <t>Samantha.McCourt@metalor.com</t>
  </si>
  <si>
    <t>PT Babel Surya Alam Lestari</t>
  </si>
  <si>
    <t>CID001406</t>
  </si>
  <si>
    <t>Badau</t>
  </si>
  <si>
    <t>PT Rajawali Rimba Perkasa</t>
  </si>
  <si>
    <t>CID003381</t>
  </si>
  <si>
    <t>Tukak Sadai</t>
  </si>
  <si>
    <t>PT Artha Cipta Langgeng</t>
  </si>
  <si>
    <t>CID001399</t>
  </si>
  <si>
    <t>PT Stanindo Inti Perkasa</t>
  </si>
  <si>
    <t>CID001468</t>
  </si>
  <si>
    <t>PT Sariwiguna Binasentosa</t>
  </si>
  <si>
    <t>CID001463</t>
  </si>
  <si>
    <t>PT Sukses Inti Makmur</t>
  </si>
  <si>
    <t>CID002816</t>
  </si>
  <si>
    <t>Belitung</t>
  </si>
  <si>
    <t>CID000309</t>
  </si>
  <si>
    <t>PT Aries Kencana Sejahtera</t>
  </si>
  <si>
    <t>Pemali</t>
  </si>
  <si>
    <t>CID002835</t>
  </si>
  <si>
    <t>PT Menara Cipta Mulia</t>
  </si>
  <si>
    <t>Mentawak</t>
  </si>
  <si>
    <t>CID001428</t>
  </si>
  <si>
    <t>PT Bukit Timah</t>
  </si>
  <si>
    <t>CID001402</t>
  </si>
  <si>
    <t>PT Babel Inti Perkasa</t>
  </si>
  <si>
    <t>Lintang</t>
  </si>
  <si>
    <t/>
  </si>
  <si>
    <t>CID001490</t>
  </si>
  <si>
    <t>PT Tinindo Inter Nusa</t>
  </si>
  <si>
    <t>CID002455</t>
  </si>
  <si>
    <t>CV Venus Inti Perkasa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</si>
</sst>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41"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guido@mgb.fr"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guido@mgb.f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9" sqref="F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6"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D61" sqref="D61:E6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1"/>
      <c r="G3" s="361"/>
      <c r="H3" s="361"/>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3" t="s">
        <v>481</v>
      </c>
      <c r="E9" s="364"/>
      <c r="F9" s="364"/>
      <c r="G9" s="36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7"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8"/>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8"/>
      <c r="E12" s="359"/>
      <c r="F12" s="359"/>
      <c r="G12" s="359"/>
      <c r="H12" s="359"/>
      <c r="I12" s="359"/>
      <c r="J12" s="36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8"/>
      <c r="E13" s="359"/>
      <c r="F13" s="359"/>
      <c r="G13" s="359"/>
      <c r="H13" s="359"/>
      <c r="I13" s="359"/>
      <c r="J13" s="36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6" t="s">
        <v>15818</v>
      </c>
      <c r="E14" s="357"/>
      <c r="F14" s="357"/>
      <c r="G14" s="357"/>
      <c r="H14" s="357"/>
      <c r="I14" s="357"/>
      <c r="J14" s="32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8" t="s">
        <v>15819</v>
      </c>
      <c r="E15" s="359"/>
      <c r="F15" s="359"/>
      <c r="G15" s="359"/>
      <c r="H15" s="359"/>
      <c r="I15" s="359"/>
      <c r="J15" s="36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9" t="s">
        <v>15820</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8" t="s">
        <v>15819</v>
      </c>
      <c r="E18" s="359"/>
      <c r="F18" s="359"/>
      <c r="G18" s="359"/>
      <c r="H18" s="359"/>
      <c r="I18" s="359"/>
      <c r="J18" s="36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8" t="s">
        <v>15822</v>
      </c>
      <c r="E19" s="359"/>
      <c r="F19" s="359"/>
      <c r="G19" s="359"/>
      <c r="H19" s="359"/>
      <c r="I19" s="359"/>
      <c r="J19" s="36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9" t="s">
        <v>15820</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45797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9"/>
      <c r="E23" s="37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8"/>
      <c r="I37" s="378"/>
      <c r="J37" s="378"/>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477</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2"/>
      <c r="E56" s="373"/>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2" t="s">
        <v>2432</v>
      </c>
      <c r="E57" s="373"/>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2" t="s">
        <v>2432</v>
      </c>
      <c r="E58" s="373"/>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2" t="s">
        <v>2432</v>
      </c>
      <c r="E59" s="373"/>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7"/>
      <c r="I61" s="377"/>
      <c r="J61" s="377"/>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7" t="str">
        <f>IF(Q75="(*)","Click here to enter smelter names","")</f>
        <v/>
      </c>
      <c r="I67" s="377"/>
      <c r="J67" s="377"/>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15823</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15824</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15825</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0" t="s">
        <v>475</v>
      </c>
      <c r="E85" s="352"/>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5.75" thickBot="1">
      <c r="A91" s="380" t="str">
        <f ca="1">OFFSET(L!$C$1,MATCH("General"&amp;"Cpy",L!$A:$A,0)-1,SL,,)</f>
        <v>© 2025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99" stopIfTrue="1">
      <formula>IF($D$22="",TRUE)</formula>
    </cfRule>
  </conditionalFormatting>
  <conditionalFormatting sqref="D26:E26">
    <cfRule type="expression" dxfId="78" priority="177" stopIfTrue="1">
      <formula>IF($D$26="",TRUE)</formula>
    </cfRule>
  </conditionalFormatting>
  <conditionalFormatting sqref="D27:E27">
    <cfRule type="expression" dxfId="77" priority="184" stopIfTrue="1">
      <formula>IF($D$27="",TRUE)</formula>
    </cfRule>
  </conditionalFormatting>
  <conditionalFormatting sqref="D28:E28">
    <cfRule type="expression" dxfId="76" priority="185" stopIfTrue="1">
      <formula>IF($D$28="",TRUE)</formula>
    </cfRule>
  </conditionalFormatting>
  <conditionalFormatting sqref="D29:E29">
    <cfRule type="expression" dxfId="75" priority="186" stopIfTrue="1">
      <formula>IF($D$29="",TRUE)</formula>
    </cfRule>
  </conditionalFormatting>
  <conditionalFormatting sqref="D32:E32">
    <cfRule type="expression" dxfId="74" priority="95" stopIfTrue="1">
      <formula>IF(AND(OR($D$26="Yes",$D$26=""),$D$32=""),1,0)</formula>
    </cfRule>
    <cfRule type="expression" dxfId="73" priority="182" stopIfTrue="1">
      <formula>$P$26=""</formula>
    </cfRule>
  </conditionalFormatting>
  <conditionalFormatting sqref="D38:E38 D44:E44 D50:E50 D56:E56 D62:E62 D68:E68">
    <cfRule type="expression" dxfId="72" priority="58" stopIfTrue="1">
      <formula>$P$26=""</formula>
    </cfRule>
    <cfRule type="expression" dxfId="71" priority="59" stopIfTrue="1">
      <formula>$P$32=""</formula>
    </cfRule>
  </conditionalFormatting>
  <conditionalFormatting sqref="D38:E38">
    <cfRule type="expression" dxfId="70" priority="94" stopIfTrue="1">
      <formula>IF(AND(OR($D$26="Yes",$D$26=""),OR($D$32="Yes",$D$32=""),D38=""),1,0)</formula>
    </cfRule>
  </conditionalFormatting>
  <conditionalFormatting sqref="D44:E44">
    <cfRule type="expression" dxfId="69" priority="93" stopIfTrue="1">
      <formula>IF(AND(OR($D$26="Yes",$D$26=""),OR($D$32="Yes",$D$32=""),D44=""),1,0)</formula>
    </cfRule>
  </conditionalFormatting>
  <conditionalFormatting sqref="D50:E50">
    <cfRule type="expression" dxfId="68" priority="61" stopIfTrue="1">
      <formula>IF(AND(OR($D$26="Yes",$D$26=""),OR($D$32="Yes",$D$32=""),D50=""),1,0)</formula>
    </cfRule>
  </conditionalFormatting>
  <conditionalFormatting sqref="D56:E56">
    <cfRule type="expression" dxfId="67" priority="69" stopIfTrue="1">
      <formula>IF(AND(OR($D$26="Yes",$D$26=""),OR($D$32="Yes",$D$32=""),D56=""),1,0)</formula>
    </cfRule>
  </conditionalFormatting>
  <conditionalFormatting sqref="D62:E62">
    <cfRule type="expression" dxfId="66" priority="68" stopIfTrue="1">
      <formula>IF(AND(OR($D$26="Yes",$D$26=""),OR($D$32="Yes",$D$32=""),D62=""),1,0)</formula>
    </cfRule>
  </conditionalFormatting>
  <conditionalFormatting sqref="D68:E68">
    <cfRule type="expression" dxfId="65" priority="60" stopIfTrue="1">
      <formula>IF(AND(OR($D$26="Yes",$D$26=""),OR($D$32="Yes",$D$32=""),D68=""),1,0)</formula>
    </cfRule>
  </conditionalFormatting>
  <conditionalFormatting sqref="D75:E75 D77:E77 D79:E79 D81:E81 D83 D85:E85 D87:E87 D89:E89">
    <cfRule type="expression" dxfId="64" priority="125" stopIfTrue="1">
      <formula>AND(OR($D$26="No",AND($D$26="Yes",$D$32="No")),OR($D$27="No",AND($D$27="Yes",$D$33="No")),OR($D$28="No",AND($D$28="Yes",$D$34="No")),OR($D$29="No",AND($D$29="Yes",$D$35="No")))</formula>
    </cfRule>
    <cfRule type="expression" dxfId="63" priority="126" stopIfTrue="1">
      <formula>IF(D75="",TRUE)</formula>
    </cfRule>
  </conditionalFormatting>
  <conditionalFormatting sqref="D9:G9">
    <cfRule type="expression" dxfId="62" priority="192" stopIfTrue="1">
      <formula>IF($D$9="",TRUE)</formula>
    </cfRule>
  </conditionalFormatting>
  <conditionalFormatting sqref="D8:J8">
    <cfRule type="expression" dxfId="61" priority="191" stopIfTrue="1">
      <formula>IF($D$8="",TRUE)</formula>
    </cfRule>
  </conditionalFormatting>
  <conditionalFormatting sqref="D10:J10">
    <cfRule type="expression" dxfId="60" priority="206" stopIfTrue="1">
      <formula>IF(AND($D$10="",$D$9=$R$9),TRUE)</formula>
    </cfRule>
    <cfRule type="expression" dxfId="59" priority="96" stopIfTrue="1">
      <formula>IF($D$9=$Q$9,TRUE)</formula>
    </cfRule>
  </conditionalFormatting>
  <conditionalFormatting sqref="G77:J77">
    <cfRule type="expression" dxfId="58" priority="97" stopIfTrue="1">
      <formula>IF(AND($D$77="Yes",$G$77=""),TRUE)</formula>
    </cfRule>
  </conditionalFormatting>
  <conditionalFormatting sqref="G85:J85">
    <cfRule type="expression" dxfId="57" priority="87" stopIfTrue="1">
      <formula>IF(AND($D$85="Yes, using other format (describe)",$G$85=""),TRUE)</formula>
    </cfRule>
  </conditionalFormatting>
  <conditionalFormatting sqref="D15:J15">
    <cfRule type="expression" dxfId="56" priority="39" stopIfTrue="1">
      <formula>IF($D$15="",TRUE)</formula>
    </cfRule>
  </conditionalFormatting>
  <conditionalFormatting sqref="D16:J16">
    <cfRule type="expression" dxfId="55" priority="40" stopIfTrue="1">
      <formula>IF($D$16="",TRUE)</formula>
    </cfRule>
  </conditionalFormatting>
  <conditionalFormatting sqref="D17:J17">
    <cfRule type="expression" dxfId="54" priority="38" stopIfTrue="1">
      <formula>IF($D$17="",TRUE)</formula>
    </cfRule>
  </conditionalFormatting>
  <conditionalFormatting sqref="D20:J20">
    <cfRule type="expression" dxfId="53" priority="37" stopIfTrue="1">
      <formula>IF($D$16="",TRUE)</formula>
    </cfRule>
  </conditionalFormatting>
  <conditionalFormatting sqref="D33:E33">
    <cfRule type="expression" dxfId="52" priority="34" stopIfTrue="1">
      <formula>IF(AND(OR($D$27="Yes",$D$27=""),$D$33=""),1,0)</formula>
    </cfRule>
    <cfRule type="expression" dxfId="51" priority="35" stopIfTrue="1">
      <formula>$P$27=""</formula>
    </cfRule>
  </conditionalFormatting>
  <conditionalFormatting sqref="D34:E34">
    <cfRule type="expression" dxfId="50" priority="31" stopIfTrue="1">
      <formula>IF(AND(OR($D$28="Yes",$D$28=""),$D$34=""),1,0)</formula>
    </cfRule>
    <cfRule type="expression" dxfId="49" priority="32" stopIfTrue="1">
      <formula>$P$28=""</formula>
    </cfRule>
  </conditionalFormatting>
  <conditionalFormatting sqref="D35:E35">
    <cfRule type="expression" dxfId="48" priority="33" stopIfTrue="1">
      <formula>IF(AND(OR($D$29="Yes",$D$29=""),$D$35=""),1,0)</formula>
    </cfRule>
    <cfRule type="expression" dxfId="47" priority="36" stopIfTrue="1">
      <formula>$P$29=""</formula>
    </cfRule>
  </conditionalFormatting>
  <conditionalFormatting sqref="D39:E39">
    <cfRule type="expression" dxfId="46" priority="28" stopIfTrue="1">
      <formula>$P$33=""</formula>
    </cfRule>
    <cfRule type="expression" dxfId="45" priority="29" stopIfTrue="1">
      <formula>$P$39=""</formula>
    </cfRule>
  </conditionalFormatting>
  <conditionalFormatting sqref="D39:E39">
    <cfRule type="expression" dxfId="44" priority="30" stopIfTrue="1">
      <formula>IF(AND(OR($D$27="Yes",$D$27=""),OR($D$33="Yes",$D$33=""),D39=""),1,0)</formula>
    </cfRule>
  </conditionalFormatting>
  <conditionalFormatting sqref="D40:E41">
    <cfRule type="expression" dxfId="43" priority="25" stopIfTrue="1">
      <formula>$P$33=""</formula>
    </cfRule>
    <cfRule type="expression" dxfId="42" priority="26" stopIfTrue="1">
      <formula>$P$39=""</formula>
    </cfRule>
  </conditionalFormatting>
  <conditionalFormatting sqref="D40:E41">
    <cfRule type="expression" dxfId="41" priority="27" stopIfTrue="1">
      <formula>IF(AND(OR($D$27="Yes",$D$27=""),OR($D$33="Yes",$D$33=""),D40=""),1,0)</formula>
    </cfRule>
  </conditionalFormatting>
  <conditionalFormatting sqref="D45:E45">
    <cfRule type="expression" dxfId="40" priority="22" stopIfTrue="1">
      <formula>$P$33=""</formula>
    </cfRule>
    <cfRule type="expression" dxfId="39" priority="23" stopIfTrue="1">
      <formula>$P$39=""</formula>
    </cfRule>
  </conditionalFormatting>
  <conditionalFormatting sqref="D45:E45">
    <cfRule type="expression" dxfId="38" priority="24" stopIfTrue="1">
      <formula>IF(AND(OR($D$27="Yes",$D$27=""),OR($D$33="Yes",$D$33=""),D45=""),1,0)</formula>
    </cfRule>
  </conditionalFormatting>
  <conditionalFormatting sqref="D46:E47">
    <cfRule type="expression" dxfId="37" priority="19" stopIfTrue="1">
      <formula>$P$33=""</formula>
    </cfRule>
    <cfRule type="expression" dxfId="36" priority="20" stopIfTrue="1">
      <formula>$P$39=""</formula>
    </cfRule>
  </conditionalFormatting>
  <conditionalFormatting sqref="D46:E47">
    <cfRule type="expression" dxfId="35" priority="21" stopIfTrue="1">
      <formula>IF(AND(OR($D$27="Yes",$D$27=""),OR($D$33="Yes",$D$33=""),D46=""),1,0)</formula>
    </cfRule>
  </conditionalFormatting>
  <conditionalFormatting sqref="D51:E51">
    <cfRule type="expression" dxfId="34" priority="16" stopIfTrue="1">
      <formula>$P$33=""</formula>
    </cfRule>
    <cfRule type="expression" dxfId="33" priority="17" stopIfTrue="1">
      <formula>$P$39=""</formula>
    </cfRule>
  </conditionalFormatting>
  <conditionalFormatting sqref="D51:E51">
    <cfRule type="expression" dxfId="32" priority="18" stopIfTrue="1">
      <formula>IF(AND(OR($D$27="Yes",$D$27=""),OR($D$33="Yes",$D$33=""),D51=""),1,0)</formula>
    </cfRule>
  </conditionalFormatting>
  <conditionalFormatting sqref="D52:E53">
    <cfRule type="expression" dxfId="31" priority="13" stopIfTrue="1">
      <formula>$P$33=""</formula>
    </cfRule>
    <cfRule type="expression" dxfId="30" priority="14" stopIfTrue="1">
      <formula>$P$39=""</formula>
    </cfRule>
  </conditionalFormatting>
  <conditionalFormatting sqref="D52:E53">
    <cfRule type="expression" dxfId="29" priority="15" stopIfTrue="1">
      <formula>IF(AND(OR($D$27="Yes",$D$27=""),OR($D$33="Yes",$D$33=""),D52=""),1,0)</formula>
    </cfRule>
  </conditionalFormatting>
  <conditionalFormatting sqref="D57:E57">
    <cfRule type="expression" dxfId="28" priority="10" stopIfTrue="1">
      <formula>$P$33=""</formula>
    </cfRule>
    <cfRule type="expression" dxfId="27" priority="11" stopIfTrue="1">
      <formula>$P$39=""</formula>
    </cfRule>
  </conditionalFormatting>
  <conditionalFormatting sqref="D57:E57">
    <cfRule type="expression" dxfId="26" priority="12" stopIfTrue="1">
      <formula>IF(AND(OR($D$27="Yes",$D$27=""),OR($D$33="Yes",$D$33=""),D57=""),1,0)</formula>
    </cfRule>
  </conditionalFormatting>
  <conditionalFormatting sqref="D58:E59">
    <cfRule type="expression" dxfId="25" priority="7" stopIfTrue="1">
      <formula>$P$33=""</formula>
    </cfRule>
    <cfRule type="expression" dxfId="24" priority="8" stopIfTrue="1">
      <formula>$P$39=""</formula>
    </cfRule>
  </conditionalFormatting>
  <conditionalFormatting sqref="D58:E59">
    <cfRule type="expression" dxfId="23" priority="9" stopIfTrue="1">
      <formula>IF(AND(OR($D$27="Yes",$D$27=""),OR($D$33="Yes",$D$33=""),D58=""),1,0)</formula>
    </cfRule>
  </conditionalFormatting>
  <conditionalFormatting sqref="D63:E65">
    <cfRule type="expression" dxfId="22" priority="4" stopIfTrue="1">
      <formula>$P$33=""</formula>
    </cfRule>
    <cfRule type="expression" dxfId="21" priority="5" stopIfTrue="1">
      <formula>$P$39=""</formula>
    </cfRule>
  </conditionalFormatting>
  <conditionalFormatting sqref="D63:E65">
    <cfRule type="expression" dxfId="20" priority="6" stopIfTrue="1">
      <formula>IF(AND(OR($D$27="Yes",$D$27=""),OR($D$33="Yes",$D$33=""),D63=""),1,0)</formula>
    </cfRule>
  </conditionalFormatting>
  <conditionalFormatting sqref="D69:E71">
    <cfRule type="expression" dxfId="19" priority="1" stopIfTrue="1">
      <formula>$P$33=""</formula>
    </cfRule>
    <cfRule type="expression" dxfId="18" priority="2" stopIfTrue="1">
      <formula>$P$39=""</formula>
    </cfRule>
  </conditionalFormatting>
  <conditionalFormatting sqref="D69:E71">
    <cfRule type="expression" dxfId="17" priority="3" stopIfTrue="1">
      <formula>IF(AND(OR($D$27="Yes",$D$27=""),OR($D$33="Yes",$D$33=""),D69=""),1,0)</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8" sqref="C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2217</v>
      </c>
      <c r="D5" s="230"/>
      <c r="E5" s="182" t="s">
        <v>1069</v>
      </c>
      <c r="F5" s="182" t="s">
        <v>2230</v>
      </c>
      <c r="G5" s="182" t="s">
        <v>13177</v>
      </c>
      <c r="H5" s="183">
        <v>0</v>
      </c>
      <c r="I5" s="184" t="s">
        <v>1733</v>
      </c>
      <c r="J5" s="184" t="s">
        <v>13535</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IF(C5="",NA(),IF(OR(C5="Smelter not listed",C5="Smelter not yet identified"),MATCH($B5&amp;$D5,'Smelter Look-up'!$J:$J,0),MATCH($B5&amp;$C5,'Smelter Look-up'!$J:$J,0)))</f>
        <v>407</v>
      </c>
      <c r="X5" s="227">
        <f t="shared" ref="X5" si="0">IF(AND(C5="Smelter not listed",OR(LEN(D5)=0,LEN(E5)=0)),1,0)</f>
        <v>0</v>
      </c>
      <c r="AB5" s="228" t="str">
        <f t="shared" ref="AB5" si="1">B5&amp;C5</f>
        <v>TinChenzhou Yun Xiang mining limited liability company</v>
      </c>
    </row>
    <row r="6" spans="1:34" s="227" customFormat="1" ht="20.100000000000001" customHeight="1">
      <c r="A6" s="262"/>
      <c r="B6" s="182" t="s">
        <v>1099</v>
      </c>
      <c r="C6" s="186" t="s">
        <v>13713</v>
      </c>
      <c r="D6" s="230"/>
      <c r="E6" s="182" t="s">
        <v>1074</v>
      </c>
      <c r="F6" s="182" t="s">
        <v>760</v>
      </c>
      <c r="G6" s="182" t="s">
        <v>13177</v>
      </c>
      <c r="H6" s="183"/>
      <c r="I6" s="184" t="s">
        <v>1751</v>
      </c>
      <c r="J6" s="184" t="s">
        <v>12799</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510</v>
      </c>
      <c r="X6" s="227">
        <f t="shared" ref="X6:X37" si="3">IF(AND(C6="Smelter not listed",OR(LEN(D6)=0,LEN(E6)=0)),1,0)</f>
        <v>0</v>
      </c>
      <c r="AB6" s="228" t="str">
        <f t="shared" ref="AB6:AB37" si="4">B6&amp;C6</f>
        <v>TinPT Timah Tbk Mentok</v>
      </c>
    </row>
    <row r="7" spans="1:34" s="227" customFormat="1" ht="20.100000000000001" customHeight="1">
      <c r="A7" s="262"/>
      <c r="B7" s="182" t="s">
        <v>1098</v>
      </c>
      <c r="C7" s="186" t="s">
        <v>2283</v>
      </c>
      <c r="D7" s="230"/>
      <c r="E7" s="182" t="s">
        <v>1064</v>
      </c>
      <c r="F7" s="182" t="s">
        <v>719</v>
      </c>
      <c r="G7" s="182" t="s">
        <v>13177</v>
      </c>
      <c r="H7" s="183"/>
      <c r="I7" s="184" t="s">
        <v>1641</v>
      </c>
      <c r="J7" s="184" t="s">
        <v>3104</v>
      </c>
      <c r="K7" s="224"/>
      <c r="L7" s="224"/>
      <c r="M7" s="224"/>
      <c r="N7" s="224"/>
      <c r="O7" s="224"/>
      <c r="P7" s="185"/>
      <c r="Q7" s="225"/>
      <c r="R7" s="182" t="str">
        <f ca="1">IF(ISERROR($V7),"",OFFSET('Smelter Look-up'!$C$4,$V7-4,0)&amp;"")</f>
        <v>Umicore S.A. Business Unit Precious Metals Refining</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302</v>
      </c>
      <c r="X7" s="227">
        <f t="shared" si="3"/>
        <v>0</v>
      </c>
      <c r="AB7" s="228" t="str">
        <f t="shared" si="4"/>
        <v>GoldUmicore S.A. Business Unit Precious Metals Refining</v>
      </c>
    </row>
    <row r="8" spans="1:34" s="227" customFormat="1" ht="20.100000000000001" customHeight="1">
      <c r="A8" s="262"/>
      <c r="B8" s="182" t="s">
        <v>1098</v>
      </c>
      <c r="C8" s="186" t="s">
        <v>1134</v>
      </c>
      <c r="D8" s="230"/>
      <c r="E8" s="182" t="s">
        <v>1067</v>
      </c>
      <c r="F8" s="182" t="s">
        <v>688</v>
      </c>
      <c r="G8" s="182" t="s">
        <v>13177</v>
      </c>
      <c r="H8" s="183" t="s">
        <v>15826</v>
      </c>
      <c r="I8" s="184" t="s">
        <v>1588</v>
      </c>
      <c r="J8" s="184" t="s">
        <v>1589</v>
      </c>
      <c r="K8" s="224"/>
      <c r="L8" s="224"/>
      <c r="M8" s="224"/>
      <c r="N8" s="224" t="s">
        <v>15827</v>
      </c>
      <c r="O8" s="224" t="s">
        <v>15827</v>
      </c>
      <c r="P8" s="185" t="s">
        <v>476</v>
      </c>
      <c r="Q8" s="225"/>
      <c r="R8" s="182" t="str">
        <f ca="1">IF(ISERROR($V8),"",OFFSET('Smelter Look-up'!$C$4,$V8-4,0)&amp;"")</f>
        <v>Metalor Technologies S.A.</v>
      </c>
      <c r="S8" s="181" t="str">
        <f t="shared" ca="1" si="2"/>
        <v>CH</v>
      </c>
      <c r="T8" s="181" t="str">
        <f ca="1">IF(B8="","",IF(ISERROR(MATCH($J8,SorP!$B$1:$B$6226,0)),"",INDIRECT("'SorP'!$A$"&amp;MATCH($S8&amp;$J8,SorP!C:C,0))))</f>
        <v>CH-NE</v>
      </c>
      <c r="U8" s="201"/>
      <c r="V8" s="226">
        <f>IF(C8="",NA(),IF(OR(C8="Smelter not listed",C8="Smelter not yet identified"),MATCH($B8&amp;$D8,'Smelter Look-up'!$J:$J,0),MATCH($B8&amp;$C8,'Smelter Look-up'!$J:$J,0)))</f>
        <v>177</v>
      </c>
      <c r="X8" s="227">
        <f t="shared" si="3"/>
        <v>0</v>
      </c>
      <c r="AB8" s="228" t="str">
        <f t="shared" si="4"/>
        <v>GoldMetalor Switzerland</v>
      </c>
    </row>
    <row r="9" spans="1:34" s="227" customFormat="1" ht="20.100000000000001" customHeight="1">
      <c r="A9" s="262"/>
      <c r="B9" s="182" t="s">
        <v>1098</v>
      </c>
      <c r="C9" s="186" t="s">
        <v>2105</v>
      </c>
      <c r="D9" s="230"/>
      <c r="E9" s="182" t="s">
        <v>1069</v>
      </c>
      <c r="F9" s="182" t="s">
        <v>686</v>
      </c>
      <c r="G9" s="182" t="s">
        <v>13177</v>
      </c>
      <c r="H9" s="183" t="s">
        <v>15828</v>
      </c>
      <c r="I9" s="184" t="s">
        <v>1587</v>
      </c>
      <c r="J9" s="184" t="s">
        <v>15829</v>
      </c>
      <c r="K9" s="224"/>
      <c r="L9" s="224"/>
      <c r="M9" s="224"/>
      <c r="N9" s="224" t="s">
        <v>15827</v>
      </c>
      <c r="O9" s="224" t="s">
        <v>15827</v>
      </c>
      <c r="P9" s="185" t="s">
        <v>476</v>
      </c>
      <c r="Q9" s="225"/>
      <c r="R9" s="182" t="str">
        <f ca="1">IF(ISERROR($V9),"",OFFSET('Smelter Look-up'!$C$4,$V9-4,0)&amp;"")</f>
        <v>Metalor Technologies (Hong Kong) Ltd.</v>
      </c>
      <c r="S9" s="181" t="str">
        <f t="shared" ca="1" si="2"/>
        <v>CN</v>
      </c>
      <c r="T9" s="181" t="str">
        <f ca="1">IF(B9="","",IF(ISERROR(MATCH($J9,SorP!$B$1:$B$6226,0)),"",INDIRECT("'SorP'!$A$"&amp;MATCH($S9&amp;$J9,SorP!C:C,0))))</f>
        <v/>
      </c>
      <c r="U9" s="201"/>
      <c r="V9" s="226">
        <f>IF(C9="",NA(),IF(OR(C9="Smelter not listed",C9="Smelter not yet identified"),MATCH($B9&amp;$D9,'Smelter Look-up'!$J:$J,0),MATCH($B9&amp;$C9,'Smelter Look-up'!$J:$J,0)))</f>
        <v>178</v>
      </c>
      <c r="X9" s="227">
        <f t="shared" si="3"/>
        <v>0</v>
      </c>
      <c r="AB9" s="228" t="str">
        <f t="shared" si="4"/>
        <v>GoldMetalor Technologies (Hong Kong) Ltd.</v>
      </c>
    </row>
    <row r="10" spans="1:34" s="227" customFormat="1" ht="20.100000000000001" customHeight="1">
      <c r="A10" s="262"/>
      <c r="B10" s="182" t="s">
        <v>1098</v>
      </c>
      <c r="C10" s="186" t="s">
        <v>2106</v>
      </c>
      <c r="D10" s="230"/>
      <c r="E10" s="182" t="s">
        <v>857</v>
      </c>
      <c r="F10" s="182" t="s">
        <v>687</v>
      </c>
      <c r="G10" s="182" t="s">
        <v>13177</v>
      </c>
      <c r="H10" s="183" t="s">
        <v>15830</v>
      </c>
      <c r="I10" s="184" t="s">
        <v>12670</v>
      </c>
      <c r="J10" s="184" t="s">
        <v>10242</v>
      </c>
      <c r="K10" s="224"/>
      <c r="L10" s="224"/>
      <c r="M10" s="224"/>
      <c r="N10" s="224" t="s">
        <v>15827</v>
      </c>
      <c r="O10" s="224" t="s">
        <v>15827</v>
      </c>
      <c r="P10" s="185" t="s">
        <v>476</v>
      </c>
      <c r="Q10" s="225"/>
      <c r="R10" s="182" t="str">
        <f ca="1">IF(ISERROR($V10),"",OFFSET('Smelter Look-up'!$C$4,$V10-4,0)&amp;"")</f>
        <v>Metalor Technologies (Singapore) Pte., Ltd.</v>
      </c>
      <c r="S10" s="181" t="str">
        <f t="shared" ca="1" si="2"/>
        <v>SG</v>
      </c>
      <c r="T10" s="181" t="str">
        <f ca="1">IF(B10="","",IF(ISERROR(MATCH($J10,SorP!$B$1:$B$6226,0)),"",INDIRECT("'SorP'!$A$"&amp;MATCH($S10&amp;$J10,SorP!C:C,0))))</f>
        <v>SG-05</v>
      </c>
      <c r="U10" s="201"/>
      <c r="V10" s="226">
        <f>IF(C10="",NA(),IF(OR(C10="Smelter not listed",C10="Smelter not yet identified"),MATCH($B10&amp;$D10,'Smelter Look-up'!$J:$J,0),MATCH($B10&amp;$C10,'Smelter Look-up'!$J:$J,0)))</f>
        <v>179</v>
      </c>
      <c r="X10" s="227">
        <f t="shared" si="3"/>
        <v>0</v>
      </c>
      <c r="AB10" s="228" t="str">
        <f t="shared" si="4"/>
        <v>GoldMetalor Technologies (Singapore) Pte., Ltd.</v>
      </c>
    </row>
    <row r="11" spans="1:34" s="227" customFormat="1" ht="20.100000000000001" customHeight="1">
      <c r="A11" s="262"/>
      <c r="B11" s="182" t="s">
        <v>1098</v>
      </c>
      <c r="C11" s="186" t="s">
        <v>1585</v>
      </c>
      <c r="D11" s="230"/>
      <c r="E11" s="182" t="s">
        <v>1069</v>
      </c>
      <c r="F11" s="182" t="s">
        <v>1586</v>
      </c>
      <c r="G11" s="182" t="s">
        <v>13177</v>
      </c>
      <c r="H11" s="183" t="s">
        <v>15831</v>
      </c>
      <c r="I11" s="184" t="s">
        <v>2464</v>
      </c>
      <c r="J11" s="184" t="s">
        <v>13544</v>
      </c>
      <c r="K11" s="224"/>
      <c r="L11" s="224"/>
      <c r="M11" s="224"/>
      <c r="N11" s="224" t="s">
        <v>15827</v>
      </c>
      <c r="O11" s="224" t="s">
        <v>15827</v>
      </c>
      <c r="P11" s="185" t="s">
        <v>476</v>
      </c>
      <c r="Q11" s="225"/>
      <c r="R11" s="182" t="str">
        <f ca="1">IF(ISERROR($V11),"",OFFSET('Smelter Look-up'!$C$4,$V11-4,0)&amp;"")</f>
        <v>Metalor Technologies (Suzhou) Ltd.</v>
      </c>
      <c r="S11" s="181" t="str">
        <f t="shared" ca="1" si="2"/>
        <v>CN</v>
      </c>
      <c r="T11" s="181" t="str">
        <f ca="1">IF(B11="","",IF(ISERROR(MATCH($J11,SorP!$B$1:$B$6226,0)),"",INDIRECT("'SorP'!$A$"&amp;MATCH($S11&amp;$J11,SorP!C:C,0))))</f>
        <v>CN-JS</v>
      </c>
      <c r="U11" s="201"/>
      <c r="V11" s="226">
        <f>IF(C11="",NA(),IF(OR(C11="Smelter not listed",C11="Smelter not yet identified"),MATCH($B11&amp;$D11,'Smelter Look-up'!$J:$J,0),MATCH($B11&amp;$C11,'Smelter Look-up'!$J:$J,0)))</f>
        <v>180</v>
      </c>
      <c r="X11" s="227">
        <f t="shared" si="3"/>
        <v>0</v>
      </c>
      <c r="AB11" s="228" t="str">
        <f t="shared" si="4"/>
        <v>GoldMetalor Technologies (Suzhou) Ltd.</v>
      </c>
    </row>
    <row r="12" spans="1:34" s="227" customFormat="1" ht="20.100000000000001" customHeight="1">
      <c r="A12" s="262"/>
      <c r="B12" s="182" t="s">
        <v>1098</v>
      </c>
      <c r="C12" s="186" t="s">
        <v>2257</v>
      </c>
      <c r="D12" s="230"/>
      <c r="E12" s="182" t="s">
        <v>1067</v>
      </c>
      <c r="F12" s="182" t="s">
        <v>688</v>
      </c>
      <c r="G12" s="182" t="s">
        <v>13177</v>
      </c>
      <c r="H12" s="183" t="s">
        <v>15826</v>
      </c>
      <c r="I12" s="184" t="s">
        <v>1588</v>
      </c>
      <c r="J12" s="184" t="s">
        <v>1589</v>
      </c>
      <c r="K12" s="224"/>
      <c r="L12" s="224"/>
      <c r="M12" s="224"/>
      <c r="N12" s="224" t="s">
        <v>15827</v>
      </c>
      <c r="O12" s="224" t="s">
        <v>15827</v>
      </c>
      <c r="P12" s="185" t="s">
        <v>476</v>
      </c>
      <c r="Q12" s="225"/>
      <c r="R12" s="182" t="str">
        <f ca="1">IF(ISERROR($V12),"",OFFSET('Smelter Look-up'!$C$4,$V12-4,0)&amp;"")</f>
        <v>Metalor Technologies S.A.</v>
      </c>
      <c r="S12" s="181" t="str">
        <f t="shared" ca="1" si="2"/>
        <v>CH</v>
      </c>
      <c r="T12" s="181" t="str">
        <f ca="1">IF(B12="","",IF(ISERROR(MATCH($J12,SorP!$B$1:$B$6226,0)),"",INDIRECT("'SorP'!$A$"&amp;MATCH($S12&amp;$J12,SorP!C:C,0))))</f>
        <v>CH-NE</v>
      </c>
      <c r="U12" s="201"/>
      <c r="V12" s="226">
        <f>IF(C12="",NA(),IF(OR(C12="Smelter not listed",C12="Smelter not yet identified"),MATCH($B12&amp;$D12,'Smelter Look-up'!$J:$J,0),MATCH($B12&amp;$C12,'Smelter Look-up'!$J:$J,0)))</f>
        <v>181</v>
      </c>
      <c r="X12" s="227">
        <f t="shared" si="3"/>
        <v>0</v>
      </c>
      <c r="AB12" s="228" t="str">
        <f t="shared" si="4"/>
        <v>GoldMetalor Technologies S.A.</v>
      </c>
    </row>
    <row r="13" spans="1:34" s="227" customFormat="1" ht="20.100000000000001" customHeight="1">
      <c r="A13" s="262"/>
      <c r="B13" s="182" t="s">
        <v>1098</v>
      </c>
      <c r="C13" s="186" t="s">
        <v>1195</v>
      </c>
      <c r="D13" s="230"/>
      <c r="E13" s="182" t="s">
        <v>2384</v>
      </c>
      <c r="F13" s="182" t="s">
        <v>689</v>
      </c>
      <c r="G13" s="182" t="s">
        <v>13177</v>
      </c>
      <c r="H13" s="183" t="s">
        <v>15832</v>
      </c>
      <c r="I13" s="184" t="s">
        <v>1590</v>
      </c>
      <c r="J13" s="184" t="s">
        <v>1591</v>
      </c>
      <c r="K13" s="224"/>
      <c r="L13" s="224"/>
      <c r="M13" s="224"/>
      <c r="N13" s="224" t="s">
        <v>15827</v>
      </c>
      <c r="O13" s="224" t="s">
        <v>15827</v>
      </c>
      <c r="P13" s="185" t="s">
        <v>476</v>
      </c>
      <c r="Q13" s="225"/>
      <c r="R13" s="182" t="str">
        <f ca="1">IF(ISERROR($V13),"",OFFSET('Smelter Look-up'!$C$4,$V13-4,0)&amp;"")</f>
        <v>Metalor USA Refining Corporation</v>
      </c>
      <c r="S13" s="181" t="str">
        <f t="shared" ca="1" si="2"/>
        <v>US</v>
      </c>
      <c r="T13" s="181" t="str">
        <f ca="1">IF(B13="","",IF(ISERROR(MATCH($J13,SorP!$B$1:$B$6226,0)),"",INDIRECT("'SorP'!$A$"&amp;MATCH($S13&amp;$J13,SorP!C:C,0))))</f>
        <v>US-MA</v>
      </c>
      <c r="U13" s="201"/>
      <c r="V13" s="226">
        <f>IF(C13="",NA(),IF(OR(C13="Smelter not listed",C13="Smelter not yet identified"),MATCH($B13&amp;$D13,'Smelter Look-up'!$J:$J,0),MATCH($B13&amp;$C13,'Smelter Look-up'!$J:$J,0)))</f>
        <v>182</v>
      </c>
      <c r="X13" s="227">
        <f t="shared" si="3"/>
        <v>0</v>
      </c>
      <c r="AB13" s="228" t="str">
        <f t="shared" si="4"/>
        <v>GoldMetalor USA Refining Corporation</v>
      </c>
    </row>
    <row r="14" spans="1:34" s="227" customFormat="1" ht="20.100000000000001" customHeight="1">
      <c r="A14" s="262" t="s">
        <v>637</v>
      </c>
      <c r="B14" s="182" t="s">
        <v>1098</v>
      </c>
      <c r="C14" s="186" t="s">
        <v>2236</v>
      </c>
      <c r="D14" s="230"/>
      <c r="E14" s="182" t="s">
        <v>1067</v>
      </c>
      <c r="F14" s="182" t="s">
        <v>637</v>
      </c>
      <c r="G14" s="182" t="s">
        <v>13177</v>
      </c>
      <c r="H14" s="183">
        <v>0</v>
      </c>
      <c r="I14" s="184" t="s">
        <v>1516</v>
      </c>
      <c r="J14" s="184" t="s">
        <v>1517</v>
      </c>
      <c r="K14" s="224"/>
      <c r="L14" s="224"/>
      <c r="M14" s="224"/>
      <c r="N14" s="224"/>
      <c r="O14" s="224"/>
      <c r="P14" s="185"/>
      <c r="Q14" s="225"/>
      <c r="R14" s="182" t="str">
        <f ca="1">IF(ISERROR($V14),"",OFFSET('Smelter Look-up'!$C$4,$V14-4,0)&amp;"")</f>
        <v>Argor-Heraeus S.A.</v>
      </c>
      <c r="S14" s="181" t="str">
        <f t="shared" ca="1" si="2"/>
        <v>CH</v>
      </c>
      <c r="T14" s="181" t="str">
        <f ca="1">IF(B14="","",IF(ISERROR(MATCH($J14,SorP!$B$1:$B$6226,0)),"",INDIRECT("'SorP'!$A$"&amp;MATCH($S14&amp;$J14,SorP!C:C,0))))</f>
        <v>CH-TI</v>
      </c>
      <c r="U14" s="201"/>
      <c r="V14" s="226">
        <f>IF(C14="",NA(),IF(OR(C14="Smelter not listed",C14="Smelter not yet identified"),MATCH($B14&amp;$D14,'Smelter Look-up'!$J:$J,0),MATCH($B14&amp;$C14,'Smelter Look-up'!$J:$J,0)))</f>
        <v>28</v>
      </c>
      <c r="X14" s="227">
        <f t="shared" si="3"/>
        <v>0</v>
      </c>
      <c r="AB14" s="228" t="str">
        <f t="shared" si="4"/>
        <v>GoldArgor-Heraeus S.A.</v>
      </c>
    </row>
    <row r="15" spans="1:34" s="227" customFormat="1" ht="20.100000000000001" customHeight="1">
      <c r="A15" s="262" t="s">
        <v>634</v>
      </c>
      <c r="B15" s="182" t="s">
        <v>1098</v>
      </c>
      <c r="C15" s="186" t="s">
        <v>15276</v>
      </c>
      <c r="D15" s="230"/>
      <c r="E15" s="182" t="s">
        <v>1070</v>
      </c>
      <c r="F15" s="182" t="s">
        <v>634</v>
      </c>
      <c r="G15" s="182" t="s">
        <v>13177</v>
      </c>
      <c r="H15" s="183">
        <v>0</v>
      </c>
      <c r="I15" s="184" t="s">
        <v>1510</v>
      </c>
      <c r="J15" s="184" t="s">
        <v>1511</v>
      </c>
      <c r="K15" s="224"/>
      <c r="L15" s="224"/>
      <c r="M15" s="224"/>
      <c r="N15" s="224"/>
      <c r="O15" s="224"/>
      <c r="P15" s="185"/>
      <c r="Q15" s="225"/>
      <c r="R15" s="182" t="str">
        <f ca="1">IF(ISERROR($V15),"",OFFSET('Smelter Look-up'!$C$4,$V15-4,0)&amp;"")</f>
        <v>Agosi AG</v>
      </c>
      <c r="S15" s="181" t="str">
        <f t="shared" ca="1" si="2"/>
        <v>DE</v>
      </c>
      <c r="T15" s="181" t="str">
        <f ca="1">IF(B15="","",IF(ISERROR(MATCH($J15,SorP!$B$1:$B$6226,0)),"",INDIRECT("'SorP'!$A$"&amp;MATCH($S15&amp;$J15,SorP!C:C,0))))</f>
        <v>DE-BW</v>
      </c>
      <c r="U15" s="201"/>
      <c r="V15" s="226">
        <f>IF(C15="",NA(),IF(OR(C15="Smelter not listed",C15="Smelter not yet identified"),MATCH($B15&amp;$D15,'Smelter Look-up'!$J:$J,0),MATCH($B15&amp;$C15,'Smelter Look-up'!$J:$J,0)))</f>
        <v>10</v>
      </c>
      <c r="X15" s="227">
        <f t="shared" si="3"/>
        <v>0</v>
      </c>
      <c r="AB15" s="228" t="str">
        <f t="shared" si="4"/>
        <v>GoldAgosi AG</v>
      </c>
    </row>
    <row r="16" spans="1:34" s="227" customFormat="1" ht="20.100000000000001" customHeight="1">
      <c r="A16" s="262" t="s">
        <v>641</v>
      </c>
      <c r="B16" s="182" t="s">
        <v>1098</v>
      </c>
      <c r="C16" s="186" t="s">
        <v>1191</v>
      </c>
      <c r="D16" s="230"/>
      <c r="E16" s="182" t="s">
        <v>1070</v>
      </c>
      <c r="F16" s="182" t="s">
        <v>641</v>
      </c>
      <c r="G16" s="182" t="s">
        <v>13177</v>
      </c>
      <c r="H16" s="183">
        <v>0</v>
      </c>
      <c r="I16" s="184" t="s">
        <v>1523</v>
      </c>
      <c r="J16" s="184" t="s">
        <v>1523</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si="3"/>
        <v>0</v>
      </c>
      <c r="AB16" s="228" t="str">
        <f t="shared" si="4"/>
        <v>GoldAurubis AG</v>
      </c>
    </row>
    <row r="17" spans="1:28" s="227" customFormat="1" ht="20.100000000000001" customHeight="1">
      <c r="A17" s="262" t="s">
        <v>649</v>
      </c>
      <c r="B17" s="182" t="s">
        <v>1098</v>
      </c>
      <c r="C17" s="186" t="s">
        <v>50</v>
      </c>
      <c r="D17" s="230"/>
      <c r="E17" s="182" t="s">
        <v>1076</v>
      </c>
      <c r="F17" s="182" t="s">
        <v>649</v>
      </c>
      <c r="G17" s="182" t="s">
        <v>13177</v>
      </c>
      <c r="H17" s="183">
        <v>0</v>
      </c>
      <c r="I17" s="184" t="s">
        <v>1536</v>
      </c>
      <c r="J17" s="184" t="s">
        <v>6417</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IF(C17="",NA(),IF(OR(C17="Smelter not listed",C17="Smelter not yet identified"),MATCH($B17&amp;$D17,'Smelter Look-up'!$J:$J,0),MATCH($B17&amp;$C17,'Smelter Look-up'!$J:$J,0)))</f>
        <v>56</v>
      </c>
      <c r="X17" s="227">
        <f t="shared" si="3"/>
        <v>0</v>
      </c>
      <c r="AB17" s="228" t="str">
        <f t="shared" si="4"/>
        <v>GoldChimet S.p.A.</v>
      </c>
    </row>
    <row r="18" spans="1:28" s="227" customFormat="1" ht="20.100000000000001" customHeight="1">
      <c r="A18" s="181" t="s">
        <v>645</v>
      </c>
      <c r="B18" s="182" t="s">
        <v>1098</v>
      </c>
      <c r="C18" s="186" t="s">
        <v>644</v>
      </c>
      <c r="D18" s="230"/>
      <c r="E18" s="182" t="s">
        <v>1070</v>
      </c>
      <c r="F18" s="182" t="s">
        <v>645</v>
      </c>
      <c r="G18" s="182" t="s">
        <v>13177</v>
      </c>
      <c r="H18" s="183">
        <v>0</v>
      </c>
      <c r="I18" s="184" t="s">
        <v>1510</v>
      </c>
      <c r="J18" s="184" t="s">
        <v>1511</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63.75">
      <c r="A19" s="181" t="s">
        <v>661</v>
      </c>
      <c r="B19" s="182" t="s">
        <v>1098</v>
      </c>
      <c r="C19" s="186" t="s">
        <v>14928</v>
      </c>
      <c r="D19" s="230"/>
      <c r="E19" s="182" t="s">
        <v>1070</v>
      </c>
      <c r="F19" s="182" t="s">
        <v>661</v>
      </c>
      <c r="G19" s="182" t="s">
        <v>13177</v>
      </c>
      <c r="H19" s="183">
        <v>0</v>
      </c>
      <c r="I19" s="184" t="s">
        <v>1556</v>
      </c>
      <c r="J19" s="184" t="s">
        <v>4195</v>
      </c>
      <c r="K19" s="224"/>
      <c r="L19" s="224"/>
      <c r="M19" s="224"/>
      <c r="N19" s="224"/>
      <c r="O19" s="224"/>
      <c r="P19" s="185"/>
      <c r="Q19" s="225"/>
      <c r="R19" s="182" t="str">
        <f ca="1">IF(ISERROR($V19),"",OFFSET('Smelter Look-up'!$C$4,$V19-4,0)&amp;"")</f>
        <v>Heraeus Germany GmbH Co. KG</v>
      </c>
      <c r="S19" s="181" t="str">
        <f t="shared" ca="1" si="2"/>
        <v>DE</v>
      </c>
      <c r="T19" s="181" t="str">
        <f ca="1">IF(B19="","",IF(ISERROR(MATCH($J19,SorP!$B$1:$B$6226,0)),"",INDIRECT("'SorP'!$A$"&amp;MATCH($S19&amp;$J19,SorP!C:C,0))))</f>
        <v>DE-HE</v>
      </c>
      <c r="U19" s="201"/>
      <c r="V19" s="226">
        <f>IF(C19="",NA(),IF(OR(C19="Smelter not listed",C19="Smelter not yet identified"),MATCH($B19&amp;$D19,'Smelter Look-up'!$J:$J,0),MATCH($B19&amp;$C19,'Smelter Look-up'!$J:$J,0)))</f>
        <v>108</v>
      </c>
      <c r="X19" s="227">
        <f t="shared" si="3"/>
        <v>0</v>
      </c>
      <c r="AB19" s="228" t="str">
        <f t="shared" si="4"/>
        <v>GoldHeraeus Germany GmbH Co. KG</v>
      </c>
    </row>
    <row r="20" spans="1:28" s="227" customFormat="1" ht="63.75">
      <c r="A20" s="181" t="s">
        <v>708</v>
      </c>
      <c r="B20" s="182" t="s">
        <v>1098</v>
      </c>
      <c r="C20" s="186" t="s">
        <v>12380</v>
      </c>
      <c r="D20" s="230"/>
      <c r="E20" s="182" t="s">
        <v>1071</v>
      </c>
      <c r="F20" s="182" t="s">
        <v>708</v>
      </c>
      <c r="G20" s="182" t="s">
        <v>13177</v>
      </c>
      <c r="H20" s="183">
        <v>0</v>
      </c>
      <c r="I20" s="184" t="s">
        <v>1617</v>
      </c>
      <c r="J20" s="184" t="s">
        <v>4621</v>
      </c>
      <c r="K20" s="224"/>
      <c r="L20" s="224"/>
      <c r="M20" s="224"/>
      <c r="N20" s="224"/>
      <c r="O20" s="224"/>
      <c r="P20" s="185"/>
      <c r="Q20" s="225"/>
      <c r="R20" s="182" t="str">
        <f ca="1">IF(ISERROR($V20),"",OFFSET('Smelter Look-up'!$C$4,$V20-4,0)&amp;"")</f>
        <v>SEMPSA Joyeria Plateria S.A.</v>
      </c>
      <c r="S20" s="181" t="str">
        <f t="shared" ca="1" si="2"/>
        <v>ES</v>
      </c>
      <c r="T20" s="181" t="str">
        <f ca="1">IF(B20="","",IF(ISERROR(MATCH($J20,SorP!$B$1:$B$6226,0)),"",INDIRECT("'SorP'!$A$"&amp;MATCH($S20&amp;$J20,SorP!C:C,0))))</f>
        <v>ES-MD</v>
      </c>
      <c r="U20" s="201"/>
      <c r="V20" s="226">
        <f>IF(C20="",NA(),IF(OR(C20="Smelter not listed",C20="Smelter not yet identified"),MATCH($B20&amp;$D20,'Smelter Look-up'!$J:$J,0),MATCH($B20&amp;$C20,'Smelter Look-up'!$J:$J,0)))</f>
        <v>242</v>
      </c>
      <c r="X20" s="227">
        <f t="shared" si="3"/>
        <v>0</v>
      </c>
      <c r="AB20" s="228" t="str">
        <f t="shared" si="4"/>
        <v>GoldSEMPSA Joyeria Plateria S.A.</v>
      </c>
    </row>
    <row r="21" spans="1:28" s="227" customFormat="1" ht="102">
      <c r="A21" s="181" t="s">
        <v>719</v>
      </c>
      <c r="B21" s="182" t="s">
        <v>1098</v>
      </c>
      <c r="C21" s="186" t="s">
        <v>2283</v>
      </c>
      <c r="D21" s="230"/>
      <c r="E21" s="182" t="s">
        <v>1064</v>
      </c>
      <c r="F21" s="182" t="s">
        <v>719</v>
      </c>
      <c r="G21" s="182" t="s">
        <v>13177</v>
      </c>
      <c r="H21" s="183">
        <v>0</v>
      </c>
      <c r="I21" s="184" t="s">
        <v>1641</v>
      </c>
      <c r="J21" s="184" t="s">
        <v>3104</v>
      </c>
      <c r="K21" s="224"/>
      <c r="L21" s="224"/>
      <c r="M21" s="224"/>
      <c r="N21" s="224"/>
      <c r="O21" s="224"/>
      <c r="P21" s="185"/>
      <c r="Q21" s="225"/>
      <c r="R21" s="182" t="str">
        <f ca="1">IF(ISERROR($V21),"",OFFSET('Smelter Look-up'!$C$4,$V21-4,0)&amp;"")</f>
        <v>Umicore S.A. Business Unit Precious Metals Refining</v>
      </c>
      <c r="S21" s="181" t="str">
        <f t="shared" ca="1" si="2"/>
        <v>BE</v>
      </c>
      <c r="T21" s="181" t="str">
        <f ca="1">IF(B21="","",IF(ISERROR(MATCH($J21,SorP!$B$1:$B$6226,0)),"",INDIRECT("'SorP'!$A$"&amp;MATCH($S21&amp;$J21,SorP!C:C,0))))</f>
        <v>BE-VAN</v>
      </c>
      <c r="U21" s="201"/>
      <c r="V21" s="226">
        <f>IF(C21="",NA(),IF(OR(C21="Smelter not listed",C21="Smelter not yet identified"),MATCH($B21&amp;$D21,'Smelter Look-up'!$J:$J,0),MATCH($B21&amp;$C21,'Smelter Look-up'!$J:$J,0)))</f>
        <v>302</v>
      </c>
      <c r="X21" s="227">
        <f t="shared" si="3"/>
        <v>0</v>
      </c>
      <c r="AB21" s="228" t="str">
        <f t="shared" si="4"/>
        <v>GoldUmicore S.A. Business Unit Precious Metals Refining</v>
      </c>
    </row>
    <row r="22" spans="1:28" s="227" customFormat="1" ht="51">
      <c r="A22" s="181" t="s">
        <v>659</v>
      </c>
      <c r="B22" s="182" t="s">
        <v>1098</v>
      </c>
      <c r="C22" s="186" t="s">
        <v>1008</v>
      </c>
      <c r="D22" s="230"/>
      <c r="E22" s="182" t="s">
        <v>1070</v>
      </c>
      <c r="F22" s="182" t="s">
        <v>659</v>
      </c>
      <c r="G22" s="182" t="s">
        <v>13177</v>
      </c>
      <c r="H22" s="183">
        <v>0</v>
      </c>
      <c r="I22" s="184" t="s">
        <v>1510</v>
      </c>
      <c r="J22" s="184" t="s">
        <v>1511</v>
      </c>
      <c r="K22" s="224"/>
      <c r="L22" s="224"/>
      <c r="M22" s="224"/>
      <c r="N22" s="224"/>
      <c r="O22" s="224"/>
      <c r="P22" s="185"/>
      <c r="Q22" s="225"/>
      <c r="R22" s="182" t="str">
        <f ca="1">IF(ISERROR($V22),"",OFFSET('Smelter Look-up'!$C$4,$V22-4,0)&amp;"")</f>
        <v>Heimerle + Meule GmbH</v>
      </c>
      <c r="S22" s="181" t="str">
        <f t="shared" ca="1" si="2"/>
        <v>DE</v>
      </c>
      <c r="T22" s="181" t="str">
        <f ca="1">IF(B22="","",IF(ISERROR(MATCH($J22,SorP!$B$1:$B$6226,0)),"",INDIRECT("'SorP'!$A$"&amp;MATCH($S22&amp;$J22,SorP!C:C,0))))</f>
        <v>DE-BW</v>
      </c>
      <c r="U22" s="201"/>
      <c r="V22" s="226">
        <f>IF(C22="",NA(),IF(OR(C22="Smelter not listed",C22="Smelter not yet identified"),MATCH($B22&amp;$D22,'Smelter Look-up'!$J:$J,0),MATCH($B22&amp;$C22,'Smelter Look-up'!$J:$J,0)))</f>
        <v>104</v>
      </c>
      <c r="X22" s="227">
        <f t="shared" si="3"/>
        <v>0</v>
      </c>
      <c r="AB22" s="228" t="str">
        <f t="shared" si="4"/>
        <v>GoldHeimerle + Meule GmbH</v>
      </c>
    </row>
    <row r="23" spans="1:28" s="227" customFormat="1" ht="38.25">
      <c r="A23" s="181" t="s">
        <v>1772</v>
      </c>
      <c r="B23" s="182" t="s">
        <v>1099</v>
      </c>
      <c r="C23" s="186" t="s">
        <v>15341</v>
      </c>
      <c r="D23" s="230"/>
      <c r="E23" s="182" t="s">
        <v>1064</v>
      </c>
      <c r="F23" s="182" t="s">
        <v>1772</v>
      </c>
      <c r="G23" s="182" t="s">
        <v>13177</v>
      </c>
      <c r="H23" s="183">
        <v>0</v>
      </c>
      <c r="I23" s="184" t="s">
        <v>1773</v>
      </c>
      <c r="J23" s="184" t="s">
        <v>3104</v>
      </c>
      <c r="K23" s="224"/>
      <c r="L23" s="224"/>
      <c r="M23" s="224"/>
      <c r="N23" s="224"/>
      <c r="O23" s="224"/>
      <c r="P23" s="185"/>
      <c r="Q23" s="225"/>
      <c r="R23" s="182" t="str">
        <f ca="1">IF(ISERROR($V23),"",OFFSET('Smelter Look-up'!$C$4,$V23-4,0)&amp;"")</f>
        <v>Aurubis Beerse</v>
      </c>
      <c r="S23" s="181" t="str">
        <f t="shared" ca="1" si="2"/>
        <v>BE</v>
      </c>
      <c r="T23" s="181" t="str">
        <f ca="1">IF(B23="","",IF(ISERROR(MATCH($J23,SorP!$B$1:$B$6226,0)),"",INDIRECT("'SorP'!$A$"&amp;MATCH($S23&amp;$J23,SorP!C:C,0))))</f>
        <v>BE-VAN</v>
      </c>
      <c r="U23" s="201"/>
      <c r="V23" s="226">
        <f>IF(C23="",NA(),IF(OR(C23="Smelter not listed",C23="Smelter not yet identified"),MATCH($B23&amp;$D23,'Smelter Look-up'!$J:$J,0),MATCH($B23&amp;$C23,'Smelter Look-up'!$J:$J,0)))</f>
        <v>404</v>
      </c>
      <c r="X23" s="227">
        <f t="shared" si="3"/>
        <v>0</v>
      </c>
      <c r="AB23" s="228" t="str">
        <f t="shared" si="4"/>
        <v>TinAurubis Beerse</v>
      </c>
    </row>
    <row r="24" spans="1:28" s="227" customFormat="1" ht="38.25">
      <c r="A24" s="181" t="s">
        <v>14958</v>
      </c>
      <c r="B24" s="182" t="s">
        <v>1099</v>
      </c>
      <c r="C24" s="186" t="s">
        <v>14957</v>
      </c>
      <c r="D24" s="230"/>
      <c r="E24" s="182" t="s">
        <v>1071</v>
      </c>
      <c r="F24" s="182" t="s">
        <v>14958</v>
      </c>
      <c r="G24" s="182" t="s">
        <v>13177</v>
      </c>
      <c r="H24" s="183">
        <v>0</v>
      </c>
      <c r="I24" s="184" t="s">
        <v>3602</v>
      </c>
      <c r="J24" s="184" t="s">
        <v>3602</v>
      </c>
      <c r="K24" s="224"/>
      <c r="L24" s="224"/>
      <c r="M24" s="224"/>
      <c r="N24" s="224"/>
      <c r="O24" s="224"/>
      <c r="P24" s="185"/>
      <c r="Q24" s="225"/>
      <c r="R24" s="182" t="str">
        <f ca="1">IF(ISERROR($V24),"",OFFSET('Smelter Look-up'!$C$4,$V24-4,0)&amp;"")</f>
        <v>CRM Synergies</v>
      </c>
      <c r="S24" s="181" t="str">
        <f t="shared" ca="1" si="2"/>
        <v>ES</v>
      </c>
      <c r="T24" s="181" t="str">
        <f ca="1">IF(B24="","",IF(ISERROR(MATCH($J24,SorP!$B$1:$B$6226,0)),"",INDIRECT("'SorP'!$A$"&amp;MATCH($S24&amp;$J24,SorP!C:C,0))))</f>
        <v>ES-TO</v>
      </c>
      <c r="U24" s="201"/>
      <c r="V24" s="226">
        <f>IF(C24="",NA(),IF(OR(C24="Smelter not listed",C24="Smelter not yet identified"),MATCH($B24&amp;$D24,'Smelter Look-up'!$J:$J,0),MATCH($B24&amp;$C24,'Smelter Look-up'!$J:$J,0)))</f>
        <v>419</v>
      </c>
      <c r="X24" s="227">
        <f t="shared" si="3"/>
        <v>0</v>
      </c>
      <c r="AB24" s="228" t="str">
        <f t="shared" si="4"/>
        <v>TinCRM Synergies</v>
      </c>
    </row>
    <row r="25" spans="1:28" s="227" customFormat="1" ht="51">
      <c r="A25" s="181" t="s">
        <v>15833</v>
      </c>
      <c r="B25" s="182" t="s">
        <v>1099</v>
      </c>
      <c r="C25" s="186" t="s">
        <v>15834</v>
      </c>
      <c r="D25" s="230"/>
      <c r="E25" s="182" t="s">
        <v>1074</v>
      </c>
      <c r="F25" s="182" t="s">
        <v>15833</v>
      </c>
      <c r="G25" s="182" t="s">
        <v>13177</v>
      </c>
      <c r="H25" s="183">
        <v>0</v>
      </c>
      <c r="I25" s="184" t="s">
        <v>14989</v>
      </c>
      <c r="J25" s="184" t="s">
        <v>12799</v>
      </c>
      <c r="K25" s="224"/>
      <c r="L25" s="224"/>
      <c r="M25" s="224"/>
      <c r="N25" s="224"/>
      <c r="O25" s="224"/>
      <c r="P25" s="185"/>
      <c r="Q25" s="225"/>
      <c r="R25" s="182" t="str">
        <f ca="1">IF(ISERROR($V25),"",OFFSET('Smelter Look-up'!$C$4,$V25-4,0)&amp;"")</f>
        <v/>
      </c>
      <c r="S25" s="181" t="str">
        <f t="shared" ca="1" si="2"/>
        <v>ID</v>
      </c>
      <c r="T25" s="181" t="str">
        <f ca="1">IF(B25="","",IF(ISERROR(MATCH($J25,SorP!$B$1:$B$6226,0)),"",INDIRECT("'SorP'!$A$"&amp;MATCH($S25&amp;$J25,SorP!C:C,0))))</f>
        <v>ID-BB</v>
      </c>
      <c r="U25" s="201"/>
      <c r="V25" s="226" t="e">
        <f>IF(C25="",NA(),IF(OR(C25="Smelter not listed",C25="Smelter not yet identified"),MATCH($B25&amp;$D25,'Smelter Look-up'!$J:$J,0),MATCH($B25&amp;$C25,'Smelter Look-up'!$J:$J,0)))</f>
        <v>#N/A</v>
      </c>
      <c r="X25" s="227">
        <f t="shared" si="3"/>
        <v>0</v>
      </c>
      <c r="AB25" s="228" t="str">
        <f t="shared" si="4"/>
        <v>TinPT Bangka Serumpun</v>
      </c>
    </row>
    <row r="26" spans="1:28" s="227" customFormat="1" ht="51">
      <c r="A26" s="181" t="s">
        <v>15835</v>
      </c>
      <c r="B26" s="182" t="s">
        <v>1099</v>
      </c>
      <c r="C26" s="186" t="s">
        <v>15836</v>
      </c>
      <c r="D26" s="230"/>
      <c r="E26" s="182" t="s">
        <v>1074</v>
      </c>
      <c r="F26" s="182" t="s">
        <v>15835</v>
      </c>
      <c r="G26" s="182" t="s">
        <v>13177</v>
      </c>
      <c r="H26" s="183">
        <v>0</v>
      </c>
      <c r="I26" s="184" t="s">
        <v>1726</v>
      </c>
      <c r="J26" s="184" t="s">
        <v>12799</v>
      </c>
      <c r="K26" s="224"/>
      <c r="L26" s="224"/>
      <c r="M26" s="224"/>
      <c r="N26" s="224"/>
      <c r="O26" s="224"/>
      <c r="P26" s="185"/>
      <c r="Q26" s="225"/>
      <c r="R26" s="182" t="str">
        <f ca="1">IF(ISERROR($V26),"",OFFSET('Smelter Look-up'!$C$4,$V26-4,0)&amp;"")</f>
        <v/>
      </c>
      <c r="S26" s="181" t="str">
        <f t="shared" ca="1" si="2"/>
        <v>ID</v>
      </c>
      <c r="T26" s="181" t="str">
        <f ca="1">IF(B26="","",IF(ISERROR(MATCH($J26,SorP!$B$1:$B$6226,0)),"",INDIRECT("'SorP'!$A$"&amp;MATCH($S26&amp;$J26,SorP!C:C,0))))</f>
        <v>ID-BB</v>
      </c>
      <c r="U26" s="201"/>
      <c r="V26" s="226" t="e">
        <f>IF(C26="",NA(),IF(OR(C26="Smelter not listed",C26="Smelter not yet identified"),MATCH($B26&amp;$D26,'Smelter Look-up'!$J:$J,0),MATCH($B26&amp;$C26,'Smelter Look-up'!$J:$J,0)))</f>
        <v>#N/A</v>
      </c>
      <c r="X26" s="227">
        <f t="shared" si="3"/>
        <v>0</v>
      </c>
      <c r="AB26" s="228" t="str">
        <f t="shared" si="4"/>
        <v>TinPT Refined Bangka Tin</v>
      </c>
    </row>
    <row r="27" spans="1:28" s="227" customFormat="1" ht="51">
      <c r="A27" s="181" t="s">
        <v>777</v>
      </c>
      <c r="B27" s="182" t="s">
        <v>1099</v>
      </c>
      <c r="C27" s="186" t="s">
        <v>13714</v>
      </c>
      <c r="D27" s="230"/>
      <c r="E27" s="182" t="s">
        <v>1074</v>
      </c>
      <c r="F27" s="182" t="s">
        <v>777</v>
      </c>
      <c r="G27" s="182" t="s">
        <v>13177</v>
      </c>
      <c r="H27" s="183">
        <v>0</v>
      </c>
      <c r="I27" s="184" t="s">
        <v>1749</v>
      </c>
      <c r="J27" s="184" t="s">
        <v>6016</v>
      </c>
      <c r="K27" s="224"/>
      <c r="L27" s="224"/>
      <c r="M27" s="224"/>
      <c r="N27" s="224"/>
      <c r="O27" s="224"/>
      <c r="P27" s="185"/>
      <c r="Q27" s="225"/>
      <c r="R27" s="182" t="str">
        <f ca="1">IF(ISERROR($V27),"",OFFSET('Smelter Look-up'!$C$4,$V27-4,0)&amp;"")</f>
        <v>PT Timah Tbk Kundur</v>
      </c>
      <c r="S27" s="181" t="str">
        <f t="shared" ca="1" si="2"/>
        <v>ID</v>
      </c>
      <c r="T27" s="181" t="str">
        <f ca="1">IF(B27="","",IF(ISERROR(MATCH($J27,SorP!$B$1:$B$6226,0)),"",INDIRECT("'SorP'!$A$"&amp;MATCH($S27&amp;$J27,SorP!C:C,0))))</f>
        <v>ID-RI</v>
      </c>
      <c r="U27" s="201"/>
      <c r="V27" s="226">
        <f>IF(C27="",NA(),IF(OR(C27="Smelter not listed",C27="Smelter not yet identified"),MATCH($B27&amp;$D27,'Smelter Look-up'!$J:$J,0),MATCH($B27&amp;$C27,'Smelter Look-up'!$J:$J,0)))</f>
        <v>509</v>
      </c>
      <c r="X27" s="227">
        <f t="shared" si="3"/>
        <v>0</v>
      </c>
      <c r="AB27" s="228" t="str">
        <f t="shared" si="4"/>
        <v>TinPT Timah Tbk Kundur</v>
      </c>
    </row>
    <row r="28" spans="1:28" s="227" customFormat="1" ht="51">
      <c r="A28" s="181" t="s">
        <v>760</v>
      </c>
      <c r="B28" s="182" t="s">
        <v>1099</v>
      </c>
      <c r="C28" s="186" t="s">
        <v>13713</v>
      </c>
      <c r="D28" s="230"/>
      <c r="E28" s="182" t="s">
        <v>1074</v>
      </c>
      <c r="F28" s="182" t="s">
        <v>760</v>
      </c>
      <c r="G28" s="182" t="s">
        <v>13177</v>
      </c>
      <c r="H28" s="183">
        <v>0</v>
      </c>
      <c r="I28" s="184" t="s">
        <v>1751</v>
      </c>
      <c r="J28" s="184" t="s">
        <v>12799</v>
      </c>
      <c r="K28" s="224"/>
      <c r="L28" s="224"/>
      <c r="M28" s="224"/>
      <c r="N28" s="224"/>
      <c r="O28" s="224"/>
      <c r="P28" s="185"/>
      <c r="Q28" s="225"/>
      <c r="R28" s="182" t="str">
        <f ca="1">IF(ISERROR($V28),"",OFFSET('Smelter Look-up'!$C$4,$V28-4,0)&amp;"")</f>
        <v>PT Timah Tbk Mentok</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510</v>
      </c>
      <c r="X28" s="227">
        <f t="shared" si="3"/>
        <v>0</v>
      </c>
      <c r="AB28" s="228" t="str">
        <f t="shared" si="4"/>
        <v>TinPT Timah Tbk Mentok</v>
      </c>
    </row>
    <row r="29" spans="1:28" s="227" customFormat="1" ht="63.75">
      <c r="A29" s="181" t="s">
        <v>758</v>
      </c>
      <c r="B29" s="182" t="s">
        <v>1099</v>
      </c>
      <c r="C29" s="186" t="s">
        <v>13715</v>
      </c>
      <c r="D29" s="230"/>
      <c r="E29" s="182" t="s">
        <v>2382</v>
      </c>
      <c r="F29" s="182" t="s">
        <v>758</v>
      </c>
      <c r="G29" s="182" t="s">
        <v>13177</v>
      </c>
      <c r="H29" s="183">
        <v>0</v>
      </c>
      <c r="I29" s="184" t="s">
        <v>1728</v>
      </c>
      <c r="J29" s="184" t="s">
        <v>1728</v>
      </c>
      <c r="K29" s="224"/>
      <c r="L29" s="224"/>
      <c r="M29" s="224"/>
      <c r="N29" s="224"/>
      <c r="O29" s="224"/>
      <c r="P29" s="185"/>
      <c r="Q29" s="225"/>
      <c r="R29" s="182" t="str">
        <f ca="1">IF(ISERROR($V29),"",OFFSET('Smelter Look-up'!$C$4,$V29-4,0)&amp;"")</f>
        <v>Operaciones Metalurgicas S.A.</v>
      </c>
      <c r="S29" s="181" t="str">
        <f t="shared" ca="1" si="2"/>
        <v>BO</v>
      </c>
      <c r="T29" s="181" t="str">
        <f ca="1">IF(B29="","",IF(ISERROR(MATCH($J29,SorP!$B$1:$B$6226,0)),"",INDIRECT("'SorP'!$A$"&amp;MATCH($S29&amp;$J29,SorP!C:C,0))))</f>
        <v>BO-O</v>
      </c>
      <c r="U29" s="201"/>
      <c r="V29" s="226">
        <f>IF(C29="",NA(),IF(OR(C29="Smelter not listed",C29="Smelter not yet identified"),MATCH($B29&amp;$D29,'Smelter Look-up'!$J:$J,0),MATCH($B29&amp;$C29,'Smelter Look-up'!$J:$J,0)))</f>
        <v>493</v>
      </c>
      <c r="X29" s="227">
        <f t="shared" si="3"/>
        <v>0</v>
      </c>
      <c r="AB29" s="228" t="str">
        <f t="shared" si="4"/>
        <v>TinOperaciones Metalurgicas S.A.</v>
      </c>
    </row>
    <row r="30" spans="1:28" s="227" customFormat="1" ht="63.75">
      <c r="A30" s="181" t="s">
        <v>688</v>
      </c>
      <c r="B30" s="182" t="s">
        <v>1098</v>
      </c>
      <c r="C30" s="186" t="s">
        <v>2257</v>
      </c>
      <c r="D30" s="230"/>
      <c r="E30" s="182" t="s">
        <v>1067</v>
      </c>
      <c r="F30" s="182" t="s">
        <v>688</v>
      </c>
      <c r="G30" s="182" t="s">
        <v>13177</v>
      </c>
      <c r="H30" s="183">
        <v>0</v>
      </c>
      <c r="I30" s="184" t="s">
        <v>1588</v>
      </c>
      <c r="J30" s="184" t="s">
        <v>1589</v>
      </c>
      <c r="K30" s="224"/>
      <c r="L30" s="224"/>
      <c r="M30" s="224"/>
      <c r="N30" s="224"/>
      <c r="O30" s="224"/>
      <c r="P30" s="185"/>
      <c r="Q30" s="225"/>
      <c r="R30" s="182" t="str">
        <f ca="1">IF(ISERROR($V30),"",OFFSET('Smelter Look-up'!$C$4,$V30-4,0)&amp;"")</f>
        <v>Metalor Technologies S.A.</v>
      </c>
      <c r="S30" s="181" t="str">
        <f t="shared" ca="1" si="2"/>
        <v>CH</v>
      </c>
      <c r="T30" s="181" t="str">
        <f ca="1">IF(B30="","",IF(ISERROR(MATCH($J30,SorP!$B$1:$B$6226,0)),"",INDIRECT("'SorP'!$A$"&amp;MATCH($S30&amp;$J30,SorP!C:C,0))))</f>
        <v>CH-NE</v>
      </c>
      <c r="U30" s="201"/>
      <c r="V30" s="226">
        <f>IF(C30="",NA(),IF(OR(C30="Smelter not listed",C30="Smelter not yet identified"),MATCH($B30&amp;$D30,'Smelter Look-up'!$J:$J,0),MATCH($B30&amp;$C30,'Smelter Look-up'!$J:$J,0)))</f>
        <v>181</v>
      </c>
      <c r="X30" s="227">
        <f t="shared" si="3"/>
        <v>0</v>
      </c>
      <c r="AB30" s="228" t="str">
        <f t="shared" si="4"/>
        <v>GoldMetalor Technologies S.A.</v>
      </c>
    </row>
    <row r="31" spans="1:28" s="227" customFormat="1" ht="76.5">
      <c r="A31" s="181" t="s">
        <v>752</v>
      </c>
      <c r="B31" s="182" t="s">
        <v>1099</v>
      </c>
      <c r="C31" s="186" t="s">
        <v>793</v>
      </c>
      <c r="D31" s="230"/>
      <c r="E31" s="182" t="s">
        <v>1084</v>
      </c>
      <c r="F31" s="182" t="s">
        <v>752</v>
      </c>
      <c r="G31" s="182" t="s">
        <v>13177</v>
      </c>
      <c r="H31" s="183">
        <v>0</v>
      </c>
      <c r="I31" s="184" t="s">
        <v>1739</v>
      </c>
      <c r="J31" s="184" t="s">
        <v>8635</v>
      </c>
      <c r="K31" s="224"/>
      <c r="L31" s="224"/>
      <c r="M31" s="224"/>
      <c r="N31" s="224"/>
      <c r="O31" s="224"/>
      <c r="P31" s="185"/>
      <c r="Q31" s="225"/>
      <c r="R31" s="182" t="str">
        <f ca="1">IF(ISERROR($V31),"",OFFSET('Smelter Look-up'!$C$4,$V31-4,0)&amp;"")</f>
        <v>Malaysia Smelting Corporation (MSC)</v>
      </c>
      <c r="S31" s="181" t="str">
        <f t="shared" ca="1" si="2"/>
        <v>MY</v>
      </c>
      <c r="T31" s="181" t="str">
        <f ca="1">IF(B31="","",IF(ISERROR(MATCH($J31,SorP!$B$1:$B$6226,0)),"",INDIRECT("'SorP'!$A$"&amp;MATCH($S31&amp;$J31,SorP!C:C,0))))</f>
        <v>MY-07</v>
      </c>
      <c r="U31" s="201"/>
      <c r="V31" s="226">
        <f>IF(C31="",NA(),IF(OR(C31="Smelter not listed",C31="Smelter not yet identified"),MATCH($B31&amp;$D31,'Smelter Look-up'!$J:$J,0),MATCH($B31&amp;$C31,'Smelter Look-up'!$J:$J,0)))</f>
        <v>468</v>
      </c>
      <c r="X31" s="227">
        <f t="shared" si="3"/>
        <v>0</v>
      </c>
      <c r="AB31" s="228" t="str">
        <f t="shared" si="4"/>
        <v>TinMalaysia Smelting Corporation (MSC)</v>
      </c>
    </row>
    <row r="32" spans="1:28" s="227" customFormat="1" ht="25.5">
      <c r="A32" s="181" t="s">
        <v>754</v>
      </c>
      <c r="B32" s="182" t="s">
        <v>1099</v>
      </c>
      <c r="C32" s="186" t="s">
        <v>1003</v>
      </c>
      <c r="D32" s="230"/>
      <c r="E32" s="182" t="s">
        <v>851</v>
      </c>
      <c r="F32" s="182" t="s">
        <v>754</v>
      </c>
      <c r="G32" s="182" t="s">
        <v>13177</v>
      </c>
      <c r="H32" s="183">
        <v>0</v>
      </c>
      <c r="I32" s="184" t="s">
        <v>1743</v>
      </c>
      <c r="J32" s="184" t="s">
        <v>9062</v>
      </c>
      <c r="K32" s="224"/>
      <c r="L32" s="224"/>
      <c r="M32" s="224"/>
      <c r="N32" s="224"/>
      <c r="O32" s="224"/>
      <c r="P32" s="185"/>
      <c r="Q32" s="225"/>
      <c r="R32" s="182" t="str">
        <f ca="1">IF(ISERROR($V32),"",OFFSET('Smelter Look-up'!$C$4,$V32-4,0)&amp;"")</f>
        <v>Minsur</v>
      </c>
      <c r="S32" s="181" t="str">
        <f t="shared" ca="1" si="2"/>
        <v>PE</v>
      </c>
      <c r="T32" s="181" t="str">
        <f ca="1">IF(B32="","",IF(ISERROR(MATCH($J32,SorP!$B$1:$B$6226,0)),"",INDIRECT("'SorP'!$A$"&amp;MATCH($S32&amp;$J32,SorP!C:C,0))))</f>
        <v>PE-ICA</v>
      </c>
      <c r="U32" s="201"/>
      <c r="V32" s="226">
        <f>IF(C32="",NA(),IF(OR(C32="Smelter not listed",C32="Smelter not yet identified"),MATCH($B32&amp;$D32,'Smelter Look-up'!$J:$J,0),MATCH($B32&amp;$C32,'Smelter Look-up'!$J:$J,0)))</f>
        <v>481</v>
      </c>
      <c r="X32" s="227">
        <f t="shared" si="3"/>
        <v>0</v>
      </c>
      <c r="AB32" s="228" t="str">
        <f t="shared" si="4"/>
        <v>TinMinsur</v>
      </c>
    </row>
    <row r="33" spans="1:28" s="227" customFormat="1" ht="25.5">
      <c r="A33" s="181" t="s">
        <v>763</v>
      </c>
      <c r="B33" s="182" t="s">
        <v>1099</v>
      </c>
      <c r="C33" s="186" t="s">
        <v>1000</v>
      </c>
      <c r="D33" s="230"/>
      <c r="E33" s="182" t="s">
        <v>859</v>
      </c>
      <c r="F33" s="182" t="s">
        <v>763</v>
      </c>
      <c r="G33" s="182" t="s">
        <v>13177</v>
      </c>
      <c r="H33" s="183">
        <v>0</v>
      </c>
      <c r="I33" s="184" t="s">
        <v>1752</v>
      </c>
      <c r="J33" s="184" t="s">
        <v>1753</v>
      </c>
      <c r="K33" s="224"/>
      <c r="L33" s="224"/>
      <c r="M33" s="224"/>
      <c r="N33" s="224"/>
      <c r="O33" s="224"/>
      <c r="P33" s="185"/>
      <c r="Q33" s="225"/>
      <c r="R33" s="182" t="str">
        <f ca="1">IF(ISERROR($V33),"",OFFSET('Smelter Look-up'!$C$4,$V33-4,0)&amp;"")</f>
        <v>Thaisarco</v>
      </c>
      <c r="S33" s="181" t="str">
        <f t="shared" ca="1" si="2"/>
        <v>TH</v>
      </c>
      <c r="T33" s="181" t="str">
        <f ca="1">IF(B33="","",IF(ISERROR(MATCH($J33,SorP!$B$1:$B$6226,0)),"",INDIRECT("'SorP'!$A$"&amp;MATCH($S33&amp;$J33,SorP!C:C,0))))</f>
        <v>TH-83</v>
      </c>
      <c r="U33" s="201"/>
      <c r="V33" s="226">
        <f>IF(C33="",NA(),IF(OR(C33="Smelter not listed",C33="Smelter not yet identified"),MATCH($B33&amp;$D33,'Smelter Look-up'!$J:$J,0),MATCH($B33&amp;$C33,'Smelter Look-up'!$J:$J,0)))</f>
        <v>521</v>
      </c>
      <c r="X33" s="227">
        <f t="shared" si="3"/>
        <v>0</v>
      </c>
      <c r="AB33" s="228" t="str">
        <f t="shared" si="4"/>
        <v>TinThaisarco</v>
      </c>
    </row>
    <row r="34" spans="1:28" s="227" customFormat="1" ht="51">
      <c r="A34" s="181" t="s">
        <v>759</v>
      </c>
      <c r="B34" s="182" t="s">
        <v>1099</v>
      </c>
      <c r="C34" s="186" t="s">
        <v>610</v>
      </c>
      <c r="D34" s="230"/>
      <c r="E34" s="182" t="s">
        <v>1074</v>
      </c>
      <c r="F34" s="182" t="s">
        <v>759</v>
      </c>
      <c r="G34" s="182" t="s">
        <v>13177</v>
      </c>
      <c r="H34" s="183">
        <v>0</v>
      </c>
      <c r="I34" s="184" t="s">
        <v>1726</v>
      </c>
      <c r="J34" s="184" t="s">
        <v>12799</v>
      </c>
      <c r="K34" s="224"/>
      <c r="L34" s="224"/>
      <c r="M34" s="224"/>
      <c r="N34" s="224"/>
      <c r="O34" s="224"/>
      <c r="P34" s="185"/>
      <c r="Q34" s="225"/>
      <c r="R34" s="182" t="str">
        <f ca="1">IF(ISERROR($V34),"",OFFSET('Smelter Look-up'!$C$4,$V34-4,0)&amp;"")</f>
        <v>PT Mitra Stania Prima</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502</v>
      </c>
      <c r="X34" s="227">
        <f t="shared" si="3"/>
        <v>0</v>
      </c>
      <c r="AB34" s="228" t="str">
        <f t="shared" si="4"/>
        <v>TinPT Mitra Stania Prima</v>
      </c>
    </row>
    <row r="35" spans="1:28" s="227" customFormat="1" ht="25.5">
      <c r="A35" s="181" t="s">
        <v>744</v>
      </c>
      <c r="B35" s="182" t="s">
        <v>1099</v>
      </c>
      <c r="C35" s="186" t="s">
        <v>15837</v>
      </c>
      <c r="D35" s="230"/>
      <c r="E35" s="182" t="s">
        <v>2384</v>
      </c>
      <c r="F35" s="182" t="s">
        <v>744</v>
      </c>
      <c r="G35" s="182" t="s">
        <v>13177</v>
      </c>
      <c r="H35" s="183">
        <v>0</v>
      </c>
      <c r="I35" s="184" t="s">
        <v>1719</v>
      </c>
      <c r="J35" s="184" t="s">
        <v>1699</v>
      </c>
      <c r="K35" s="224"/>
      <c r="L35" s="224"/>
      <c r="M35" s="224"/>
      <c r="N35" s="224"/>
      <c r="O35" s="224"/>
      <c r="P35" s="185"/>
      <c r="Q35" s="225"/>
      <c r="R35" s="182" t="str">
        <f ca="1">IF(ISERROR($V35),"",OFFSET('Smelter Look-up'!$C$4,$V35-4,0)&amp;"")</f>
        <v/>
      </c>
      <c r="S35" s="181" t="str">
        <f t="shared" ca="1" si="2"/>
        <v>US</v>
      </c>
      <c r="T35" s="181" t="str">
        <f ca="1">IF(B35="","",IF(ISERROR(MATCH($J35,SorP!$B$1:$B$6226,0)),"",INDIRECT("'SorP'!$A$"&amp;MATCH($S35&amp;$J35,SorP!C:C,0))))</f>
        <v>US-PA</v>
      </c>
      <c r="U35" s="201"/>
      <c r="V35" s="226" t="e">
        <f>IF(C35="",NA(),IF(OR(C35="Smelter not listed",C35="Smelter not yet identified"),MATCH($B35&amp;$D35,'Smelter Look-up'!$J:$J,0),MATCH($B35&amp;$C35,'Smelter Look-up'!$J:$J,0)))</f>
        <v>#N/A</v>
      </c>
      <c r="X35" s="227">
        <f t="shared" si="3"/>
        <v>0</v>
      </c>
      <c r="AB35" s="228" t="str">
        <f t="shared" si="4"/>
        <v>TinAlpha</v>
      </c>
    </row>
    <row r="36" spans="1:28" s="227" customFormat="1" ht="51">
      <c r="A36" s="181" t="s">
        <v>753</v>
      </c>
      <c r="B36" s="182" t="s">
        <v>1099</v>
      </c>
      <c r="C36" s="186" t="s">
        <v>12377</v>
      </c>
      <c r="D36" s="230"/>
      <c r="E36" s="182" t="s">
        <v>1065</v>
      </c>
      <c r="F36" s="182" t="s">
        <v>753</v>
      </c>
      <c r="G36" s="182" t="s">
        <v>13177</v>
      </c>
      <c r="H36" s="183">
        <v>0</v>
      </c>
      <c r="I36" s="184" t="s">
        <v>15838</v>
      </c>
      <c r="J36" s="184" t="s">
        <v>1640</v>
      </c>
      <c r="K36" s="224"/>
      <c r="L36" s="224"/>
      <c r="M36" s="224"/>
      <c r="N36" s="224"/>
      <c r="O36" s="224"/>
      <c r="P36" s="185"/>
      <c r="Q36" s="225"/>
      <c r="R36" s="182" t="str">
        <f ca="1">IF(ISERROR($V36),"",OFFSET('Smelter Look-up'!$C$4,$V36-4,0)&amp;"")</f>
        <v>Mineracao Taboca S.A.</v>
      </c>
      <c r="S36" s="181" t="str">
        <f t="shared" ca="1" si="2"/>
        <v>BR</v>
      </c>
      <c r="T36" s="181" t="str">
        <f ca="1">IF(B36="","",IF(ISERROR(MATCH($J36,SorP!$B$1:$B$6226,0)),"",INDIRECT("'SorP'!$A$"&amp;MATCH($S36&amp;$J36,SorP!C:C,0))))</f>
        <v>BR-SP</v>
      </c>
      <c r="U36" s="201"/>
      <c r="V36" s="226">
        <f>IF(C36="",NA(),IF(OR(C36="Smelter not listed",C36="Smelter not yet identified"),MATCH($B36&amp;$D36,'Smelter Look-up'!$J:$J,0),MATCH($B36&amp;$C36,'Smelter Look-up'!$J:$J,0)))</f>
        <v>476</v>
      </c>
      <c r="X36" s="227">
        <f t="shared" si="3"/>
        <v>0</v>
      </c>
      <c r="AB36" s="228" t="str">
        <f t="shared" si="4"/>
        <v>TinMineracao Taboca S.A.</v>
      </c>
    </row>
    <row r="37" spans="1:28" s="227" customFormat="1" ht="76.5">
      <c r="A37" s="181" t="s">
        <v>755</v>
      </c>
      <c r="B37" s="182" t="s">
        <v>1099</v>
      </c>
      <c r="C37" s="186" t="s">
        <v>1131</v>
      </c>
      <c r="D37" s="230"/>
      <c r="E37" s="182" t="s">
        <v>1077</v>
      </c>
      <c r="F37" s="182" t="s">
        <v>755</v>
      </c>
      <c r="G37" s="182" t="s">
        <v>13177</v>
      </c>
      <c r="H37" s="183">
        <v>0</v>
      </c>
      <c r="I37" s="184" t="s">
        <v>1509</v>
      </c>
      <c r="J37" s="184" t="s">
        <v>1509</v>
      </c>
      <c r="K37" s="224"/>
      <c r="L37" s="224"/>
      <c r="M37" s="224"/>
      <c r="N37" s="224"/>
      <c r="O37" s="224"/>
      <c r="P37" s="185"/>
      <c r="Q37" s="225"/>
      <c r="R37" s="182" t="str">
        <f ca="1">IF(ISERROR($V37),"",OFFSET('Smelter Look-up'!$C$4,$V37-4,0)&amp;"")</f>
        <v>Mitsubishi Materials Corporation</v>
      </c>
      <c r="S37" s="181" t="str">
        <f t="shared" ca="1" si="2"/>
        <v>JP</v>
      </c>
      <c r="T37" s="181" t="str">
        <f ca="1">IF(B37="","",IF(ISERROR(MATCH($J37,SorP!$B$1:$B$6226,0)),"",INDIRECT("'SorP'!$A$"&amp;MATCH($S37&amp;$J37,SorP!C:C,0))))</f>
        <v>JP-13</v>
      </c>
      <c r="U37" s="201"/>
      <c r="V37" s="226">
        <f>IF(C37="",NA(),IF(OR(C37="Smelter not listed",C37="Smelter not yet identified"),MATCH($B37&amp;$D37,'Smelter Look-up'!$J:$J,0),MATCH($B37&amp;$C37,'Smelter Look-up'!$J:$J,0)))</f>
        <v>482</v>
      </c>
      <c r="X37" s="227">
        <f t="shared" si="3"/>
        <v>0</v>
      </c>
      <c r="AB37" s="228" t="str">
        <f t="shared" si="4"/>
        <v>TinMitsubishi Materials Corporation</v>
      </c>
    </row>
    <row r="38" spans="1:28" s="227" customFormat="1" ht="25.5">
      <c r="A38" s="181" t="s">
        <v>762</v>
      </c>
      <c r="B38" s="182" t="s">
        <v>1099</v>
      </c>
      <c r="C38" s="186" t="s">
        <v>761</v>
      </c>
      <c r="D38" s="230"/>
      <c r="E38" s="182" t="s">
        <v>2383</v>
      </c>
      <c r="F38" s="182" t="s">
        <v>762</v>
      </c>
      <c r="G38" s="182" t="s">
        <v>13177</v>
      </c>
      <c r="H38" s="183">
        <v>0</v>
      </c>
      <c r="I38" s="184" t="s">
        <v>13738</v>
      </c>
      <c r="J38" s="184" t="s">
        <v>1665</v>
      </c>
      <c r="K38" s="224"/>
      <c r="L38" s="224"/>
      <c r="M38" s="224"/>
      <c r="N38" s="224"/>
      <c r="O38" s="224"/>
      <c r="P38" s="185"/>
      <c r="Q38" s="225"/>
      <c r="R38" s="182" t="str">
        <f ca="1">IF(ISERROR($V38),"",OFFSET('Smelter Look-up'!$C$4,$V38-4,0)&amp;"")</f>
        <v>Rui Da Hung</v>
      </c>
      <c r="S38" s="181" t="str">
        <f t="shared" ref="S38:S68" ca="1" si="5">IF(B38="","",IF(ISERROR(MATCH($E38,CL,0)),"Unknown",INDIRECT("'C'!$A$"&amp;MATCH($E38,CL,0)+1)))</f>
        <v>TW</v>
      </c>
      <c r="T38" s="181" t="str">
        <f ca="1">IF(B38="","",IF(ISERROR(MATCH($J38,SorP!$B$1:$B$6226,0)),"",INDIRECT("'SorP'!$A$"&amp;MATCH($S38&amp;$J38,SorP!C:C,0))))</f>
        <v>TW-TAO</v>
      </c>
      <c r="U38" s="201"/>
      <c r="V38" s="226">
        <f>IF(C38="",NA(),IF(OR(C38="Smelter not listed",C38="Smelter not yet identified"),MATCH($B38&amp;$D38,'Smelter Look-up'!$J:$J,0),MATCH($B38&amp;$C38,'Smelter Look-up'!$J:$J,0)))</f>
        <v>515</v>
      </c>
      <c r="X38" s="227">
        <f t="shared" ref="X38:X68" si="6">IF(AND(C38="Smelter not listed",OR(LEN(D38)=0,LEN(E38)=0)),1,0)</f>
        <v>0</v>
      </c>
      <c r="AB38" s="228" t="str">
        <f t="shared" ref="AB38:AB68" si="7">B38&amp;C38</f>
        <v>TinRui Da Hung</v>
      </c>
    </row>
    <row r="39" spans="1:28" s="227" customFormat="1" ht="63.75">
      <c r="A39" s="181" t="s">
        <v>1390</v>
      </c>
      <c r="B39" s="182" t="s">
        <v>1101</v>
      </c>
      <c r="C39" s="186" t="s">
        <v>2487</v>
      </c>
      <c r="D39" s="230"/>
      <c r="E39" s="182" t="s">
        <v>1070</v>
      </c>
      <c r="F39" s="182" t="s">
        <v>1390</v>
      </c>
      <c r="G39" s="182" t="s">
        <v>13177</v>
      </c>
      <c r="H39" s="183">
        <v>0</v>
      </c>
      <c r="I39" s="184" t="s">
        <v>1709</v>
      </c>
      <c r="J39" s="184" t="s">
        <v>4197</v>
      </c>
      <c r="K39" s="224"/>
      <c r="L39" s="224"/>
      <c r="M39" s="224"/>
      <c r="N39" s="224"/>
      <c r="O39" s="224"/>
      <c r="P39" s="185"/>
      <c r="Q39" s="225"/>
      <c r="R39" s="182" t="str">
        <f ca="1">IF(ISERROR($V39),"",OFFSET('Smelter Look-up'!$C$4,$V39-4,0)&amp;"")</f>
        <v>H.C. Starck Tungsten GmbH</v>
      </c>
      <c r="S39" s="181" t="str">
        <f t="shared" ca="1" si="5"/>
        <v>DE</v>
      </c>
      <c r="T39" s="181" t="str">
        <f ca="1">IF(B39="","",IF(ISERROR(MATCH($J39,SorP!$B$1:$B$6226,0)),"",INDIRECT("'SorP'!$A$"&amp;MATCH($S39&amp;$J39,SorP!C:C,0))))</f>
        <v>DE-NI</v>
      </c>
      <c r="U39" s="201"/>
      <c r="V39" s="226">
        <f>IF(C39="",NA(),IF(OR(C39="Smelter not listed",C39="Smelter not yet identified"),MATCH($B39&amp;$D39,'Smelter Look-up'!$J:$J,0),MATCH($B39&amp;$C39,'Smelter Look-up'!$J:$J,0)))</f>
        <v>582</v>
      </c>
      <c r="X39" s="227">
        <f t="shared" si="6"/>
        <v>0</v>
      </c>
      <c r="AB39" s="228" t="str">
        <f t="shared" si="7"/>
        <v>TungstenH.C. Starck Tungsten GmbH</v>
      </c>
    </row>
    <row r="40" spans="1:28" s="227" customFormat="1" ht="51">
      <c r="A40" s="181"/>
      <c r="B40" s="182" t="s">
        <v>1098</v>
      </c>
      <c r="C40" s="186" t="s">
        <v>1134</v>
      </c>
      <c r="D40" s="230"/>
      <c r="E40" s="182" t="s">
        <v>1067</v>
      </c>
      <c r="F40" s="182" t="s">
        <v>688</v>
      </c>
      <c r="G40" s="182" t="s">
        <v>13177</v>
      </c>
      <c r="H40" s="183" t="s">
        <v>15826</v>
      </c>
      <c r="I40" s="184" t="s">
        <v>1588</v>
      </c>
      <c r="J40" s="184" t="s">
        <v>1589</v>
      </c>
      <c r="K40" s="224" t="s">
        <v>15839</v>
      </c>
      <c r="L40" s="224" t="s">
        <v>15840</v>
      </c>
      <c r="M40" s="224"/>
      <c r="N40" s="224" t="s">
        <v>15841</v>
      </c>
      <c r="O40" s="224" t="s">
        <v>15841</v>
      </c>
      <c r="P40" s="185" t="s">
        <v>476</v>
      </c>
      <c r="Q40" s="225" t="s">
        <v>15842</v>
      </c>
      <c r="R40" s="182" t="str">
        <f ca="1">IF(ISERROR($V40),"",OFFSET('Smelter Look-up'!$C$4,$V40-4,0)&amp;"")</f>
        <v>Metalor Technologies S.A.</v>
      </c>
      <c r="S40" s="181" t="str">
        <f t="shared" ca="1" si="5"/>
        <v>CH</v>
      </c>
      <c r="T40" s="181" t="str">
        <f ca="1">IF(B40="","",IF(ISERROR(MATCH($J40,SorP!$B$1:$B$6226,0)),"",INDIRECT("'SorP'!$A$"&amp;MATCH($S40&amp;$J40,SorP!C:C,0))))</f>
        <v>CH-NE</v>
      </c>
      <c r="U40" s="201"/>
      <c r="V40" s="226">
        <f>IF(C40="",NA(),IF(OR(C40="Smelter not listed",C40="Smelter not yet identified"),MATCH($B40&amp;$D40,'Smelter Look-up'!$J:$J,0),MATCH($B40&amp;$C40,'Smelter Look-up'!$J:$J,0)))</f>
        <v>177</v>
      </c>
      <c r="X40" s="227">
        <f t="shared" si="6"/>
        <v>0</v>
      </c>
      <c r="AB40" s="228" t="str">
        <f t="shared" si="7"/>
        <v>GoldMetalor Switzerland</v>
      </c>
    </row>
    <row r="41" spans="1:28" s="227" customFormat="1" ht="89.25">
      <c r="A41" s="181"/>
      <c r="B41" s="182" t="s">
        <v>1098</v>
      </c>
      <c r="C41" s="186" t="s">
        <v>2105</v>
      </c>
      <c r="D41" s="230"/>
      <c r="E41" s="182" t="s">
        <v>1069</v>
      </c>
      <c r="F41" s="182" t="s">
        <v>686</v>
      </c>
      <c r="G41" s="182" t="s">
        <v>13177</v>
      </c>
      <c r="H41" s="183" t="s">
        <v>15828</v>
      </c>
      <c r="I41" s="184" t="s">
        <v>1587</v>
      </c>
      <c r="J41" s="184" t="s">
        <v>15829</v>
      </c>
      <c r="K41" s="224" t="s">
        <v>15843</v>
      </c>
      <c r="L41" s="224" t="s">
        <v>15844</v>
      </c>
      <c r="M41" s="224"/>
      <c r="N41" s="224" t="s">
        <v>15841</v>
      </c>
      <c r="O41" s="224" t="s">
        <v>15841</v>
      </c>
      <c r="P41" s="185" t="s">
        <v>476</v>
      </c>
      <c r="Q41" s="225" t="s">
        <v>15842</v>
      </c>
      <c r="R41" s="182" t="str">
        <f ca="1">IF(ISERROR($V41),"",OFFSET('Smelter Look-up'!$C$4,$V41-4,0)&amp;"")</f>
        <v>Metalor Technologies (Hong Kong) Ltd.</v>
      </c>
      <c r="S41" s="181" t="str">
        <f t="shared" ca="1" si="5"/>
        <v>CN</v>
      </c>
      <c r="T41" s="181" t="str">
        <f ca="1">IF(B41="","",IF(ISERROR(MATCH($J41,SorP!$B$1:$B$6226,0)),"",INDIRECT("'SorP'!$A$"&amp;MATCH($S41&amp;$J41,SorP!C:C,0))))</f>
        <v/>
      </c>
      <c r="U41" s="201"/>
      <c r="V41" s="226">
        <f>IF(C41="",NA(),IF(OR(C41="Smelter not listed",C41="Smelter not yet identified"),MATCH($B41&amp;$D41,'Smelter Look-up'!$J:$J,0),MATCH($B41&amp;$C41,'Smelter Look-up'!$J:$J,0)))</f>
        <v>178</v>
      </c>
      <c r="X41" s="227">
        <f t="shared" si="6"/>
        <v>0</v>
      </c>
      <c r="AB41" s="228" t="str">
        <f t="shared" si="7"/>
        <v>GoldMetalor Technologies (Hong Kong) Ltd.</v>
      </c>
    </row>
    <row r="42" spans="1:28" s="227" customFormat="1" ht="102">
      <c r="A42" s="181"/>
      <c r="B42" s="182" t="s">
        <v>1098</v>
      </c>
      <c r="C42" s="186" t="s">
        <v>2106</v>
      </c>
      <c r="D42" s="230"/>
      <c r="E42" s="182" t="s">
        <v>857</v>
      </c>
      <c r="F42" s="182" t="s">
        <v>687</v>
      </c>
      <c r="G42" s="182" t="s">
        <v>13177</v>
      </c>
      <c r="H42" s="183" t="s">
        <v>15845</v>
      </c>
      <c r="I42" s="184" t="s">
        <v>12670</v>
      </c>
      <c r="J42" s="184" t="s">
        <v>10242</v>
      </c>
      <c r="K42" s="224" t="s">
        <v>15846</v>
      </c>
      <c r="L42" s="224" t="s">
        <v>15847</v>
      </c>
      <c r="M42" s="224"/>
      <c r="N42" s="224" t="s">
        <v>15841</v>
      </c>
      <c r="O42" s="224" t="s">
        <v>15841</v>
      </c>
      <c r="P42" s="185" t="s">
        <v>476</v>
      </c>
      <c r="Q42" s="225" t="s">
        <v>15842</v>
      </c>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IF(C42="",NA(),IF(OR(C42="Smelter not listed",C42="Smelter not yet identified"),MATCH($B42&amp;$D42,'Smelter Look-up'!$J:$J,0),MATCH($B42&amp;$C42,'Smelter Look-up'!$J:$J,0)))</f>
        <v>179</v>
      </c>
      <c r="X42" s="227">
        <f t="shared" si="6"/>
        <v>0</v>
      </c>
      <c r="AB42" s="228" t="str">
        <f t="shared" si="7"/>
        <v>GoldMetalor Technologies (Singapore) Pte., Ltd.</v>
      </c>
    </row>
    <row r="43" spans="1:28" s="227" customFormat="1" ht="76.5">
      <c r="A43" s="181"/>
      <c r="B43" s="182" t="s">
        <v>1098</v>
      </c>
      <c r="C43" s="186" t="s">
        <v>1585</v>
      </c>
      <c r="D43" s="230"/>
      <c r="E43" s="182" t="s">
        <v>1069</v>
      </c>
      <c r="F43" s="182" t="s">
        <v>1586</v>
      </c>
      <c r="G43" s="182" t="s">
        <v>13177</v>
      </c>
      <c r="H43" s="183" t="s">
        <v>15831</v>
      </c>
      <c r="I43" s="184" t="s">
        <v>2464</v>
      </c>
      <c r="J43" s="184" t="s">
        <v>13544</v>
      </c>
      <c r="K43" s="224" t="s">
        <v>15848</v>
      </c>
      <c r="L43" s="224" t="s">
        <v>15849</v>
      </c>
      <c r="M43" s="224"/>
      <c r="N43" s="224" t="s">
        <v>15841</v>
      </c>
      <c r="O43" s="224" t="s">
        <v>15841</v>
      </c>
      <c r="P43" s="185" t="s">
        <v>476</v>
      </c>
      <c r="Q43" s="225" t="s">
        <v>15842</v>
      </c>
      <c r="R43" s="182" t="str">
        <f ca="1">IF(ISERROR($V43),"",OFFSET('Smelter Look-up'!$C$4,$V43-4,0)&amp;"")</f>
        <v>Metalor Technologies (Suzhou) Ltd.</v>
      </c>
      <c r="S43" s="181" t="str">
        <f t="shared" ca="1" si="5"/>
        <v>CN</v>
      </c>
      <c r="T43" s="181" t="str">
        <f ca="1">IF(B43="","",IF(ISERROR(MATCH($J43,SorP!$B$1:$B$6226,0)),"",INDIRECT("'SorP'!$A$"&amp;MATCH($S43&amp;$J43,SorP!C:C,0))))</f>
        <v>CN-JS</v>
      </c>
      <c r="U43" s="201"/>
      <c r="V43" s="226">
        <f>IF(C43="",NA(),IF(OR(C43="Smelter not listed",C43="Smelter not yet identified"),MATCH($B43&amp;$D43,'Smelter Look-up'!$J:$J,0),MATCH($B43&amp;$C43,'Smelter Look-up'!$J:$J,0)))</f>
        <v>180</v>
      </c>
      <c r="X43" s="227">
        <f t="shared" si="6"/>
        <v>0</v>
      </c>
      <c r="AB43" s="228" t="str">
        <f t="shared" si="7"/>
        <v>GoldMetalor Technologies (Suzhou) Ltd.</v>
      </c>
    </row>
    <row r="44" spans="1:28" s="227" customFormat="1" ht="63.75">
      <c r="A44" s="181"/>
      <c r="B44" s="182" t="s">
        <v>1098</v>
      </c>
      <c r="C44" s="186" t="s">
        <v>2257</v>
      </c>
      <c r="D44" s="230"/>
      <c r="E44" s="182" t="s">
        <v>1067</v>
      </c>
      <c r="F44" s="182" t="s">
        <v>688</v>
      </c>
      <c r="G44" s="182" t="s">
        <v>13177</v>
      </c>
      <c r="H44" s="183" t="s">
        <v>15826</v>
      </c>
      <c r="I44" s="184" t="s">
        <v>1588</v>
      </c>
      <c r="J44" s="184" t="s">
        <v>1589</v>
      </c>
      <c r="K44" s="224" t="s">
        <v>15839</v>
      </c>
      <c r="L44" s="224" t="s">
        <v>15840</v>
      </c>
      <c r="M44" s="224"/>
      <c r="N44" s="224" t="s">
        <v>15841</v>
      </c>
      <c r="O44" s="224" t="s">
        <v>15841</v>
      </c>
      <c r="P44" s="185" t="s">
        <v>476</v>
      </c>
      <c r="Q44" s="225" t="s">
        <v>15842</v>
      </c>
      <c r="R44" s="182" t="str">
        <f ca="1">IF(ISERROR($V44),"",OFFSET('Smelter Look-up'!$C$4,$V44-4,0)&amp;"")</f>
        <v>Metalor Technologies S.A.</v>
      </c>
      <c r="S44" s="181" t="str">
        <f t="shared" ca="1" si="5"/>
        <v>CH</v>
      </c>
      <c r="T44" s="181" t="str">
        <f ca="1">IF(B44="","",IF(ISERROR(MATCH($J44,SorP!$B$1:$B$6226,0)),"",INDIRECT("'SorP'!$A$"&amp;MATCH($S44&amp;$J44,SorP!C:C,0))))</f>
        <v>CH-NE</v>
      </c>
      <c r="U44" s="201"/>
      <c r="V44" s="226">
        <f>IF(C44="",NA(),IF(OR(C44="Smelter not listed",C44="Smelter not yet identified"),MATCH($B44&amp;$D44,'Smelter Look-up'!$J:$J,0),MATCH($B44&amp;$C44,'Smelter Look-up'!$J:$J,0)))</f>
        <v>181</v>
      </c>
      <c r="X44" s="227">
        <f t="shared" si="6"/>
        <v>0</v>
      </c>
      <c r="AB44" s="228" t="str">
        <f t="shared" si="7"/>
        <v>GoldMetalor Technologies S.A.</v>
      </c>
    </row>
    <row r="45" spans="1:28" s="227" customFormat="1" ht="63.75">
      <c r="A45" s="181"/>
      <c r="B45" s="182" t="s">
        <v>1098</v>
      </c>
      <c r="C45" s="186" t="s">
        <v>1195</v>
      </c>
      <c r="D45" s="230"/>
      <c r="E45" s="182" t="s">
        <v>2384</v>
      </c>
      <c r="F45" s="182" t="s">
        <v>689</v>
      </c>
      <c r="G45" s="182" t="s">
        <v>13177</v>
      </c>
      <c r="H45" s="183" t="s">
        <v>15850</v>
      </c>
      <c r="I45" s="184" t="s">
        <v>1590</v>
      </c>
      <c r="J45" s="184" t="s">
        <v>1591</v>
      </c>
      <c r="K45" s="224" t="s">
        <v>15851</v>
      </c>
      <c r="L45" s="224" t="s">
        <v>15852</v>
      </c>
      <c r="M45" s="224"/>
      <c r="N45" s="224" t="s">
        <v>15841</v>
      </c>
      <c r="O45" s="224" t="s">
        <v>15841</v>
      </c>
      <c r="P45" s="185" t="s">
        <v>476</v>
      </c>
      <c r="Q45" s="225" t="s">
        <v>15842</v>
      </c>
      <c r="R45" s="182" t="str">
        <f ca="1">IF(ISERROR($V45),"",OFFSET('Smelter Look-up'!$C$4,$V45-4,0)&amp;"")</f>
        <v>Metalor USA Refining Corporation</v>
      </c>
      <c r="S45" s="181" t="str">
        <f t="shared" ca="1" si="5"/>
        <v>US</v>
      </c>
      <c r="T45" s="181" t="str">
        <f ca="1">IF(B45="","",IF(ISERROR(MATCH($J45,SorP!$B$1:$B$6226,0)),"",INDIRECT("'SorP'!$A$"&amp;MATCH($S45&amp;$J45,SorP!C:C,0))))</f>
        <v>US-MA</v>
      </c>
      <c r="U45" s="201"/>
      <c r="V45" s="226">
        <f>IF(C45="",NA(),IF(OR(C45="Smelter not listed",C45="Smelter not yet identified"),MATCH($B45&amp;$D45,'Smelter Look-up'!$J:$J,0),MATCH($B45&amp;$C45,'Smelter Look-up'!$J:$J,0)))</f>
        <v>182</v>
      </c>
      <c r="X45" s="227">
        <f t="shared" si="6"/>
        <v>0</v>
      </c>
      <c r="AB45" s="228" t="str">
        <f t="shared" si="7"/>
        <v>GoldMetalor USA Refining Corporation</v>
      </c>
    </row>
    <row r="46" spans="1:28" s="227" customFormat="1" ht="102">
      <c r="A46" s="181"/>
      <c r="B46" s="182" t="s">
        <v>1098</v>
      </c>
      <c r="C46" s="186" t="s">
        <v>2283</v>
      </c>
      <c r="D46" s="230"/>
      <c r="E46" s="182" t="s">
        <v>1064</v>
      </c>
      <c r="F46" s="182" t="s">
        <v>719</v>
      </c>
      <c r="G46" s="182" t="s">
        <v>13177</v>
      </c>
      <c r="H46" s="183">
        <v>0</v>
      </c>
      <c r="I46" s="184" t="s">
        <v>1641</v>
      </c>
      <c r="J46" s="184" t="s">
        <v>3104</v>
      </c>
      <c r="K46" s="224"/>
      <c r="L46" s="224"/>
      <c r="M46" s="224"/>
      <c r="N46" s="224"/>
      <c r="O46" s="224"/>
      <c r="P46" s="185"/>
      <c r="Q46" s="225" t="s">
        <v>15842</v>
      </c>
      <c r="R46" s="182" t="str">
        <f ca="1">IF(ISERROR($V46),"",OFFSET('Smelter Look-up'!$C$4,$V46-4,0)&amp;"")</f>
        <v>Umicore S.A. Business Unit Precious Metals Refining</v>
      </c>
      <c r="S46" s="181" t="str">
        <f t="shared" ca="1" si="5"/>
        <v>BE</v>
      </c>
      <c r="T46" s="181" t="str">
        <f ca="1">IF(B46="","",IF(ISERROR(MATCH($J46,SorP!$B$1:$B$6226,0)),"",INDIRECT("'SorP'!$A$"&amp;MATCH($S46&amp;$J46,SorP!C:C,0))))</f>
        <v>BE-VAN</v>
      </c>
      <c r="U46" s="201"/>
      <c r="V46" s="226">
        <f>IF(C46="",NA(),IF(OR(C46="Smelter not listed",C46="Smelter not yet identified"),MATCH($B46&amp;$D46,'Smelter Look-up'!$J:$J,0),MATCH($B46&amp;$C46,'Smelter Look-up'!$J:$J,0)))</f>
        <v>302</v>
      </c>
      <c r="X46" s="227">
        <f t="shared" si="6"/>
        <v>0</v>
      </c>
      <c r="AB46" s="228" t="str">
        <f t="shared" si="7"/>
        <v>GoldUmicore S.A. Business Unit Precious Metals Refining</v>
      </c>
    </row>
    <row r="47" spans="1:28" s="227" customFormat="1" ht="51">
      <c r="A47" s="181"/>
      <c r="B47" s="182" t="s">
        <v>1099</v>
      </c>
      <c r="C47" s="186" t="s">
        <v>13713</v>
      </c>
      <c r="D47" s="230"/>
      <c r="E47" s="182" t="s">
        <v>1074</v>
      </c>
      <c r="F47" s="182" t="s">
        <v>760</v>
      </c>
      <c r="G47" s="182" t="s">
        <v>13177</v>
      </c>
      <c r="H47" s="183">
        <v>0</v>
      </c>
      <c r="I47" s="184" t="s">
        <v>1751</v>
      </c>
      <c r="J47" s="184" t="s">
        <v>12799</v>
      </c>
      <c r="K47" s="224"/>
      <c r="L47" s="224"/>
      <c r="M47" s="224"/>
      <c r="N47" s="224"/>
      <c r="O47" s="224"/>
      <c r="P47" s="185"/>
      <c r="Q47" s="225" t="s">
        <v>15842</v>
      </c>
      <c r="R47" s="182" t="str">
        <f ca="1">IF(ISERROR($V47),"",OFFSET('Smelter Look-up'!$C$4,$V47-4,0)&amp;"")</f>
        <v>PT Timah Tbk Mentok</v>
      </c>
      <c r="S47" s="181" t="str">
        <f t="shared" ca="1" si="5"/>
        <v>ID</v>
      </c>
      <c r="T47" s="181" t="str">
        <f ca="1">IF(B47="","",IF(ISERROR(MATCH($J47,SorP!$B$1:$B$6226,0)),"",INDIRECT("'SorP'!$A$"&amp;MATCH($S47&amp;$J47,SorP!C:C,0))))</f>
        <v>ID-BB</v>
      </c>
      <c r="U47" s="201"/>
      <c r="V47" s="226">
        <f>IF(C47="",NA(),IF(OR(C47="Smelter not listed",C47="Smelter not yet identified"),MATCH($B47&amp;$D47,'Smelter Look-up'!$J:$J,0),MATCH($B47&amp;$C47,'Smelter Look-up'!$J:$J,0)))</f>
        <v>510</v>
      </c>
      <c r="X47" s="227">
        <f t="shared" si="6"/>
        <v>0</v>
      </c>
      <c r="AB47" s="228" t="str">
        <f t="shared" si="7"/>
        <v>TinPT Timah Tbk Mentok</v>
      </c>
    </row>
    <row r="48" spans="1:28" s="227" customFormat="1" ht="114.75">
      <c r="A48" s="181"/>
      <c r="B48" s="182" t="s">
        <v>1099</v>
      </c>
      <c r="C48" s="186" t="s">
        <v>2293</v>
      </c>
      <c r="D48" s="230"/>
      <c r="E48" s="182" t="s">
        <v>1074</v>
      </c>
      <c r="F48" s="182" t="s">
        <v>760</v>
      </c>
      <c r="G48" s="182" t="s">
        <v>13177</v>
      </c>
      <c r="H48" s="183">
        <v>0</v>
      </c>
      <c r="I48" s="184" t="s">
        <v>1751</v>
      </c>
      <c r="J48" s="184" t="s">
        <v>12799</v>
      </c>
      <c r="K48" s="224"/>
      <c r="L48" s="224"/>
      <c r="M48" s="224"/>
      <c r="N48" s="224"/>
      <c r="O48" s="224"/>
      <c r="P48" s="185"/>
      <c r="Q48" s="225" t="s">
        <v>15842</v>
      </c>
      <c r="R48" s="182" t="str">
        <f ca="1">IF(ISERROR($V48),"",OFFSET('Smelter Look-up'!$C$4,$V48-4,0)&amp;"")</f>
        <v>PT Timah Tbk Mentok</v>
      </c>
      <c r="S48" s="181" t="str">
        <f t="shared" ca="1" si="5"/>
        <v>ID</v>
      </c>
      <c r="T48" s="181" t="str">
        <f ca="1">IF(B48="","",IF(ISERROR(MATCH($J48,SorP!$B$1:$B$6226,0)),"",INDIRECT("'SorP'!$A$"&amp;MATCH($S48&amp;$J48,SorP!C:C,0))))</f>
        <v>ID-BB</v>
      </c>
      <c r="U48" s="201"/>
      <c r="V48" s="226">
        <f>IF(C48="",NA(),IF(OR(C48="Smelter not listed",C48="Smelter not yet identified"),MATCH($B48&amp;$D48,'Smelter Look-up'!$J:$J,0),MATCH($B48&amp;$C48,'Smelter Look-up'!$J:$J,0)))</f>
        <v>456</v>
      </c>
      <c r="X48" s="227">
        <f t="shared" si="6"/>
        <v>0</v>
      </c>
      <c r="AB48" s="228" t="str">
        <f t="shared" si="7"/>
        <v>TinINDONESIAN STATE TIN CORPORATION MENTOK SMELTER</v>
      </c>
    </row>
    <row r="49" spans="1:28" s="227" customFormat="1" ht="25.5">
      <c r="A49" s="181"/>
      <c r="B49" s="182" t="s">
        <v>1099</v>
      </c>
      <c r="C49" s="186" t="s">
        <v>1003</v>
      </c>
      <c r="D49" s="230"/>
      <c r="E49" s="182" t="s">
        <v>851</v>
      </c>
      <c r="F49" s="182" t="s">
        <v>754</v>
      </c>
      <c r="G49" s="182" t="s">
        <v>13177</v>
      </c>
      <c r="H49" s="183">
        <v>0</v>
      </c>
      <c r="I49" s="184" t="s">
        <v>1743</v>
      </c>
      <c r="J49" s="184" t="s">
        <v>9062</v>
      </c>
      <c r="K49" s="224"/>
      <c r="L49" s="224"/>
      <c r="M49" s="224"/>
      <c r="N49" s="224"/>
      <c r="O49" s="224"/>
      <c r="P49" s="185"/>
      <c r="Q49" s="225" t="s">
        <v>15842</v>
      </c>
      <c r="R49" s="182" t="str">
        <f ca="1">IF(ISERROR($V49),"",OFFSET('Smelter Look-up'!$C$4,$V49-4,0)&amp;"")</f>
        <v>Minsur</v>
      </c>
      <c r="S49" s="181" t="str">
        <f t="shared" ca="1" si="5"/>
        <v>PE</v>
      </c>
      <c r="T49" s="181" t="str">
        <f ca="1">IF(B49="","",IF(ISERROR(MATCH($J49,SorP!$B$1:$B$6226,0)),"",INDIRECT("'SorP'!$A$"&amp;MATCH($S49&amp;$J49,SorP!C:C,0))))</f>
        <v>PE-ICA</v>
      </c>
      <c r="U49" s="201"/>
      <c r="V49" s="226">
        <f>IF(C49="",NA(),IF(OR(C49="Smelter not listed",C49="Smelter not yet identified"),MATCH($B49&amp;$D49,'Smelter Look-up'!$J:$J,0),MATCH($B49&amp;$C49,'Smelter Look-up'!$J:$J,0)))</f>
        <v>481</v>
      </c>
      <c r="X49" s="227">
        <f t="shared" si="6"/>
        <v>0</v>
      </c>
      <c r="AB49" s="228" t="str">
        <f t="shared" si="7"/>
        <v>TinMinsur</v>
      </c>
    </row>
    <row r="50" spans="1:28" s="227" customFormat="1" ht="76.5">
      <c r="A50" s="181"/>
      <c r="B50" s="182" t="s">
        <v>1099</v>
      </c>
      <c r="C50" s="186" t="s">
        <v>1754</v>
      </c>
      <c r="D50" s="230"/>
      <c r="E50" s="182" t="s">
        <v>859</v>
      </c>
      <c r="F50" s="182" t="s">
        <v>763</v>
      </c>
      <c r="G50" s="182" t="s">
        <v>13177</v>
      </c>
      <c r="H50" s="183">
        <v>0</v>
      </c>
      <c r="I50" s="184" t="s">
        <v>1752</v>
      </c>
      <c r="J50" s="184" t="s">
        <v>1753</v>
      </c>
      <c r="K50" s="224"/>
      <c r="L50" s="224"/>
      <c r="M50" s="224"/>
      <c r="N50" s="224"/>
      <c r="O50" s="224"/>
      <c r="P50" s="185"/>
      <c r="Q50" s="225" t="s">
        <v>15842</v>
      </c>
      <c r="R50" s="182" t="str">
        <f ca="1">IF(ISERROR($V50),"",OFFSET('Smelter Look-up'!$C$4,$V50-4,0)&amp;"")</f>
        <v>Thaisarco</v>
      </c>
      <c r="S50" s="181" t="str">
        <f t="shared" ca="1" si="5"/>
        <v>TH</v>
      </c>
      <c r="T50" s="181" t="str">
        <f ca="1">IF(B50="","",IF(ISERROR(MATCH($J50,SorP!$B$1:$B$6226,0)),"",INDIRECT("'SorP'!$A$"&amp;MATCH($S50&amp;$J50,SorP!C:C,0))))</f>
        <v>TH-83</v>
      </c>
      <c r="U50" s="201"/>
      <c r="V50" s="226">
        <f>IF(C50="",NA(),IF(OR(C50="Smelter not listed",C50="Smelter not yet identified"),MATCH($B50&amp;$D50,'Smelter Look-up'!$J:$J,0),MATCH($B50&amp;$C50,'Smelter Look-up'!$J:$J,0)))</f>
        <v>520</v>
      </c>
      <c r="X50" s="227">
        <f t="shared" si="6"/>
        <v>0</v>
      </c>
      <c r="AB50" s="228" t="str">
        <f t="shared" si="7"/>
        <v>TinThailand Smelting &amp; Refining Co Ltd</v>
      </c>
    </row>
    <row r="51" spans="1:28" s="227" customFormat="1" ht="51">
      <c r="A51" s="181"/>
      <c r="B51" s="182" t="s">
        <v>1099</v>
      </c>
      <c r="C51" s="186" t="s">
        <v>13713</v>
      </c>
      <c r="D51" s="230"/>
      <c r="E51" s="182" t="s">
        <v>1074</v>
      </c>
      <c r="F51" s="182" t="s">
        <v>760</v>
      </c>
      <c r="G51" s="182" t="s">
        <v>13177</v>
      </c>
      <c r="H51" s="183">
        <v>0</v>
      </c>
      <c r="I51" s="184" t="s">
        <v>1751</v>
      </c>
      <c r="J51" s="184" t="s">
        <v>12799</v>
      </c>
      <c r="K51" s="224"/>
      <c r="L51" s="224"/>
      <c r="M51" s="224"/>
      <c r="N51" s="224"/>
      <c r="O51" s="224"/>
      <c r="P51" s="185"/>
      <c r="Q51" s="225" t="s">
        <v>15842</v>
      </c>
      <c r="R51" s="182" t="str">
        <f ca="1">IF(ISERROR($V51),"",OFFSET('Smelter Look-up'!$C$4,$V51-4,0)&amp;"")</f>
        <v>PT Timah Tbk Mentok</v>
      </c>
      <c r="S51" s="181" t="str">
        <f t="shared" ca="1" si="5"/>
        <v>ID</v>
      </c>
      <c r="T51" s="181" t="str">
        <f ca="1">IF(B51="","",IF(ISERROR(MATCH($J51,SorP!$B$1:$B$6226,0)),"",INDIRECT("'SorP'!$A$"&amp;MATCH($S51&amp;$J51,SorP!C:C,0))))</f>
        <v>ID-BB</v>
      </c>
      <c r="U51" s="201"/>
      <c r="V51" s="226">
        <f>IF(C51="",NA(),IF(OR(C51="Smelter not listed",C51="Smelter not yet identified"),MATCH($B51&amp;$D51,'Smelter Look-up'!$J:$J,0),MATCH($B51&amp;$C51,'Smelter Look-up'!$J:$J,0)))</f>
        <v>510</v>
      </c>
      <c r="X51" s="227">
        <f t="shared" si="6"/>
        <v>0</v>
      </c>
      <c r="AB51" s="228" t="str">
        <f t="shared" si="7"/>
        <v>TinPT Timah Tbk Mentok</v>
      </c>
    </row>
    <row r="52" spans="1:28" s="227" customFormat="1" ht="51">
      <c r="A52" s="181"/>
      <c r="B52" s="182" t="s">
        <v>1099</v>
      </c>
      <c r="C52" s="186" t="s">
        <v>13714</v>
      </c>
      <c r="D52" s="230"/>
      <c r="E52" s="182" t="s">
        <v>1074</v>
      </c>
      <c r="F52" s="182" t="s">
        <v>777</v>
      </c>
      <c r="G52" s="182" t="s">
        <v>13177</v>
      </c>
      <c r="H52" s="183">
        <v>0</v>
      </c>
      <c r="I52" s="184" t="s">
        <v>1749</v>
      </c>
      <c r="J52" s="184" t="s">
        <v>6016</v>
      </c>
      <c r="K52" s="224"/>
      <c r="L52" s="224"/>
      <c r="M52" s="224"/>
      <c r="N52" s="224"/>
      <c r="O52" s="224"/>
      <c r="P52" s="185"/>
      <c r="Q52" s="225" t="s">
        <v>15842</v>
      </c>
      <c r="R52" s="182" t="str">
        <f ca="1">IF(ISERROR($V52),"",OFFSET('Smelter Look-up'!$C$4,$V52-4,0)&amp;"")</f>
        <v>PT Timah Tbk Kundur</v>
      </c>
      <c r="S52" s="181" t="str">
        <f t="shared" ca="1" si="5"/>
        <v>ID</v>
      </c>
      <c r="T52" s="181" t="str">
        <f ca="1">IF(B52="","",IF(ISERROR(MATCH($J52,SorP!$B$1:$B$6226,0)),"",INDIRECT("'SorP'!$A$"&amp;MATCH($S52&amp;$J52,SorP!C:C,0))))</f>
        <v>ID-RI</v>
      </c>
      <c r="U52" s="201"/>
      <c r="V52" s="226">
        <f>IF(C52="",NA(),IF(OR(C52="Smelter not listed",C52="Smelter not yet identified"),MATCH($B52&amp;$D52,'Smelter Look-up'!$J:$J,0),MATCH($B52&amp;$C52,'Smelter Look-up'!$J:$J,0)))</f>
        <v>509</v>
      </c>
      <c r="X52" s="227">
        <f t="shared" si="6"/>
        <v>0</v>
      </c>
      <c r="AB52" s="228" t="str">
        <f t="shared" si="7"/>
        <v>TinPT Timah Tbk Kundur</v>
      </c>
    </row>
    <row r="53" spans="1:28" s="227" customFormat="1" ht="38.25">
      <c r="A53" s="181"/>
      <c r="B53" s="182" t="s">
        <v>1099</v>
      </c>
      <c r="C53" s="186" t="s">
        <v>15341</v>
      </c>
      <c r="D53" s="230"/>
      <c r="E53" s="182" t="s">
        <v>1064</v>
      </c>
      <c r="F53" s="182" t="s">
        <v>1772</v>
      </c>
      <c r="G53" s="182" t="s">
        <v>13177</v>
      </c>
      <c r="H53" s="183">
        <v>0</v>
      </c>
      <c r="I53" s="184" t="s">
        <v>1773</v>
      </c>
      <c r="J53" s="184" t="s">
        <v>3104</v>
      </c>
      <c r="K53" s="224"/>
      <c r="L53" s="224"/>
      <c r="M53" s="224"/>
      <c r="N53" s="224"/>
      <c r="O53" s="224"/>
      <c r="P53" s="185"/>
      <c r="Q53" s="225" t="s">
        <v>15842</v>
      </c>
      <c r="R53" s="182" t="str">
        <f ca="1">IF(ISERROR($V53),"",OFFSET('Smelter Look-up'!$C$4,$V53-4,0)&amp;"")</f>
        <v>Aurubis Beerse</v>
      </c>
      <c r="S53" s="181" t="str">
        <f t="shared" ca="1" si="5"/>
        <v>BE</v>
      </c>
      <c r="T53" s="181" t="str">
        <f ca="1">IF(B53="","",IF(ISERROR(MATCH($J53,SorP!$B$1:$B$6226,0)),"",INDIRECT("'SorP'!$A$"&amp;MATCH($S53&amp;$J53,SorP!C:C,0))))</f>
        <v>BE-VAN</v>
      </c>
      <c r="U53" s="201"/>
      <c r="V53" s="226">
        <f>IF(C53="",NA(),IF(OR(C53="Smelter not listed",C53="Smelter not yet identified"),MATCH($B53&amp;$D53,'Smelter Look-up'!$J:$J,0),MATCH($B53&amp;$C53,'Smelter Look-up'!$J:$J,0)))</f>
        <v>404</v>
      </c>
      <c r="X53" s="227">
        <f t="shared" si="6"/>
        <v>0</v>
      </c>
      <c r="AB53" s="228" t="str">
        <f t="shared" si="7"/>
        <v>TinAurubis Beerse</v>
      </c>
    </row>
    <row r="54" spans="1:28" s="227" customFormat="1" ht="51">
      <c r="A54" s="181"/>
      <c r="B54" s="182" t="s">
        <v>1099</v>
      </c>
      <c r="C54" s="186" t="s">
        <v>15836</v>
      </c>
      <c r="D54" s="230"/>
      <c r="E54" s="182" t="s">
        <v>1074</v>
      </c>
      <c r="F54" s="182" t="s">
        <v>15835</v>
      </c>
      <c r="G54" s="182" t="s">
        <v>13177</v>
      </c>
      <c r="H54" s="183">
        <v>0</v>
      </c>
      <c r="I54" s="184" t="s">
        <v>1726</v>
      </c>
      <c r="J54" s="184" t="s">
        <v>12799</v>
      </c>
      <c r="K54" s="224"/>
      <c r="L54" s="224"/>
      <c r="M54" s="224"/>
      <c r="N54" s="224"/>
      <c r="O54" s="224"/>
      <c r="P54" s="185"/>
      <c r="Q54" s="225" t="s">
        <v>15842</v>
      </c>
      <c r="R54" s="182" t="str">
        <f ca="1">IF(ISERROR($V54),"",OFFSET('Smelter Look-up'!$C$4,$V54-4,0)&amp;"")</f>
        <v/>
      </c>
      <c r="S54" s="181" t="str">
        <f t="shared" ca="1" si="5"/>
        <v>ID</v>
      </c>
      <c r="T54" s="181" t="str">
        <f ca="1">IF(B54="","",IF(ISERROR(MATCH($J54,SorP!$B$1:$B$6226,0)),"",INDIRECT("'SorP'!$A$"&amp;MATCH($S54&amp;$J54,SorP!C:C,0))))</f>
        <v>ID-BB</v>
      </c>
      <c r="U54" s="201"/>
      <c r="V54" s="226" t="e">
        <f>IF(C54="",NA(),IF(OR(C54="Smelter not listed",C54="Smelter not yet identified"),MATCH($B54&amp;$D54,'Smelter Look-up'!$J:$J,0),MATCH($B54&amp;$C54,'Smelter Look-up'!$J:$J,0)))</f>
        <v>#N/A</v>
      </c>
      <c r="X54" s="227">
        <f t="shared" si="6"/>
        <v>0</v>
      </c>
      <c r="AB54" s="228" t="str">
        <f t="shared" si="7"/>
        <v>TinPT Refined Bangka Tin</v>
      </c>
    </row>
    <row r="55" spans="1:28" s="227" customFormat="1" ht="51">
      <c r="A55" s="181"/>
      <c r="B55" s="182" t="s">
        <v>1099</v>
      </c>
      <c r="C55" s="186" t="s">
        <v>15834</v>
      </c>
      <c r="D55" s="230"/>
      <c r="E55" s="182" t="s">
        <v>1074</v>
      </c>
      <c r="F55" s="182" t="s">
        <v>15833</v>
      </c>
      <c r="G55" s="182" t="s">
        <v>13177</v>
      </c>
      <c r="H55" s="183">
        <v>0</v>
      </c>
      <c r="I55" s="184" t="s">
        <v>14989</v>
      </c>
      <c r="J55" s="184" t="s">
        <v>12799</v>
      </c>
      <c r="K55" s="224"/>
      <c r="L55" s="224"/>
      <c r="M55" s="224"/>
      <c r="N55" s="224"/>
      <c r="O55" s="224"/>
      <c r="P55" s="185"/>
      <c r="Q55" s="225" t="s">
        <v>15842</v>
      </c>
      <c r="R55" s="182" t="str">
        <f ca="1">IF(ISERROR($V55),"",OFFSET('Smelter Look-up'!$C$4,$V55-4,0)&amp;"")</f>
        <v/>
      </c>
      <c r="S55" s="181" t="str">
        <f t="shared" ca="1" si="5"/>
        <v>ID</v>
      </c>
      <c r="T55" s="181" t="str">
        <f ca="1">IF(B55="","",IF(ISERROR(MATCH($J55,SorP!$B$1:$B$6226,0)),"",INDIRECT("'SorP'!$A$"&amp;MATCH($S55&amp;$J55,SorP!C:C,0))))</f>
        <v>ID-BB</v>
      </c>
      <c r="U55" s="201"/>
      <c r="V55" s="226" t="e">
        <f>IF(C55="",NA(),IF(OR(C55="Smelter not listed",C55="Smelter not yet identified"),MATCH($B55&amp;$D55,'Smelter Look-up'!$J:$J,0),MATCH($B55&amp;$C55,'Smelter Look-up'!$J:$J,0)))</f>
        <v>#N/A</v>
      </c>
      <c r="X55" s="227">
        <f t="shared" si="6"/>
        <v>0</v>
      </c>
      <c r="AB55" s="228" t="str">
        <f t="shared" si="7"/>
        <v>TinPT Bangka Serumpun</v>
      </c>
    </row>
    <row r="56" spans="1:28" s="227" customFormat="1" ht="25.5">
      <c r="A56" s="181"/>
      <c r="B56" s="182" t="s">
        <v>1099</v>
      </c>
      <c r="C56" s="186" t="s">
        <v>1003</v>
      </c>
      <c r="D56" s="230"/>
      <c r="E56" s="182" t="s">
        <v>851</v>
      </c>
      <c r="F56" s="182" t="s">
        <v>754</v>
      </c>
      <c r="G56" s="182" t="s">
        <v>13177</v>
      </c>
      <c r="H56" s="183">
        <v>0</v>
      </c>
      <c r="I56" s="184" t="s">
        <v>1743</v>
      </c>
      <c r="J56" s="184" t="s">
        <v>9062</v>
      </c>
      <c r="K56" s="224"/>
      <c r="L56" s="224"/>
      <c r="M56" s="224"/>
      <c r="N56" s="224"/>
      <c r="O56" s="224"/>
      <c r="P56" s="185"/>
      <c r="Q56" s="225" t="s">
        <v>15842</v>
      </c>
      <c r="R56" s="182" t="str">
        <f ca="1">IF(ISERROR($V56),"",OFFSET('Smelter Look-up'!$C$4,$V56-4,0)&amp;"")</f>
        <v>Minsur</v>
      </c>
      <c r="S56" s="181" t="str">
        <f t="shared" ca="1" si="5"/>
        <v>PE</v>
      </c>
      <c r="T56" s="181" t="str">
        <f ca="1">IF(B56="","",IF(ISERROR(MATCH($J56,SorP!$B$1:$B$6226,0)),"",INDIRECT("'SorP'!$A$"&amp;MATCH($S56&amp;$J56,SorP!C:C,0))))</f>
        <v>PE-ICA</v>
      </c>
      <c r="U56" s="201"/>
      <c r="V56" s="226">
        <f>IF(C56="",NA(),IF(OR(C56="Smelter not listed",C56="Smelter not yet identified"),MATCH($B56&amp;$D56,'Smelter Look-up'!$J:$J,0),MATCH($B56&amp;$C56,'Smelter Look-up'!$J:$J,0)))</f>
        <v>481</v>
      </c>
      <c r="X56" s="227">
        <f t="shared" si="6"/>
        <v>0</v>
      </c>
      <c r="AB56" s="228" t="str">
        <f t="shared" si="7"/>
        <v>TinMinsur</v>
      </c>
    </row>
    <row r="57" spans="1:28" s="227" customFormat="1" ht="63.75">
      <c r="A57" s="181"/>
      <c r="B57" s="182" t="s">
        <v>1099</v>
      </c>
      <c r="C57" s="186" t="s">
        <v>13715</v>
      </c>
      <c r="D57" s="230"/>
      <c r="E57" s="182" t="s">
        <v>2382</v>
      </c>
      <c r="F57" s="182" t="s">
        <v>758</v>
      </c>
      <c r="G57" s="182" t="s">
        <v>13177</v>
      </c>
      <c r="H57" s="183">
        <v>0</v>
      </c>
      <c r="I57" s="184" t="s">
        <v>1728</v>
      </c>
      <c r="J57" s="184" t="s">
        <v>1728</v>
      </c>
      <c r="K57" s="224"/>
      <c r="L57" s="224"/>
      <c r="M57" s="224"/>
      <c r="N57" s="224"/>
      <c r="O57" s="224"/>
      <c r="P57" s="185"/>
      <c r="Q57" s="225" t="s">
        <v>15842</v>
      </c>
      <c r="R57" s="182" t="str">
        <f ca="1">IF(ISERROR($V57),"",OFFSET('Smelter Look-up'!$C$4,$V57-4,0)&amp;"")</f>
        <v>Operaciones Metalurgicas S.A.</v>
      </c>
      <c r="S57" s="181" t="str">
        <f t="shared" ca="1" si="5"/>
        <v>BO</v>
      </c>
      <c r="T57" s="181" t="str">
        <f ca="1">IF(B57="","",IF(ISERROR(MATCH($J57,SorP!$B$1:$B$6226,0)),"",INDIRECT("'SorP'!$A$"&amp;MATCH($S57&amp;$J57,SorP!C:C,0))))</f>
        <v>BO-O</v>
      </c>
      <c r="U57" s="201"/>
      <c r="V57" s="226">
        <f>IF(C57="",NA(),IF(OR(C57="Smelter not listed",C57="Smelter not yet identified"),MATCH($B57&amp;$D57,'Smelter Look-up'!$J:$J,0),MATCH($B57&amp;$C57,'Smelter Look-up'!$J:$J,0)))</f>
        <v>493</v>
      </c>
      <c r="X57" s="227">
        <f t="shared" si="6"/>
        <v>0</v>
      </c>
      <c r="AB57" s="228" t="str">
        <f t="shared" si="7"/>
        <v>TinOperaciones Metalurgicas S.A.</v>
      </c>
    </row>
    <row r="58" spans="1:28" s="227" customFormat="1" ht="51">
      <c r="A58" s="181"/>
      <c r="B58" s="182" t="s">
        <v>1099</v>
      </c>
      <c r="C58" s="186" t="s">
        <v>12377</v>
      </c>
      <c r="D58" s="230"/>
      <c r="E58" s="182" t="s">
        <v>1065</v>
      </c>
      <c r="F58" s="182" t="s">
        <v>753</v>
      </c>
      <c r="G58" s="182" t="s">
        <v>13177</v>
      </c>
      <c r="H58" s="183">
        <v>0</v>
      </c>
      <c r="I58" s="184" t="s">
        <v>15838</v>
      </c>
      <c r="J58" s="184" t="s">
        <v>1640</v>
      </c>
      <c r="K58" s="224"/>
      <c r="L58" s="224"/>
      <c r="M58" s="224"/>
      <c r="N58" s="224"/>
      <c r="O58" s="224"/>
      <c r="P58" s="185"/>
      <c r="Q58" s="225" t="s">
        <v>15842</v>
      </c>
      <c r="R58" s="182" t="str">
        <f ca="1">IF(ISERROR($V58),"",OFFSET('Smelter Look-up'!$C$4,$V58-4,0)&amp;"")</f>
        <v>Mineracao Taboca S.A.</v>
      </c>
      <c r="S58" s="181" t="str">
        <f t="shared" ca="1" si="5"/>
        <v>BR</v>
      </c>
      <c r="T58" s="181" t="str">
        <f ca="1">IF(B58="","",IF(ISERROR(MATCH($J58,SorP!$B$1:$B$6226,0)),"",INDIRECT("'SorP'!$A$"&amp;MATCH($S58&amp;$J58,SorP!C:C,0))))</f>
        <v>BR-SP</v>
      </c>
      <c r="U58" s="201"/>
      <c r="V58" s="226">
        <f>IF(C58="",NA(),IF(OR(C58="Smelter not listed",C58="Smelter not yet identified"),MATCH($B58&amp;$D58,'Smelter Look-up'!$J:$J,0),MATCH($B58&amp;$C58,'Smelter Look-up'!$J:$J,0)))</f>
        <v>476</v>
      </c>
      <c r="X58" s="227">
        <f t="shared" si="6"/>
        <v>0</v>
      </c>
      <c r="AB58" s="228" t="str">
        <f t="shared" si="7"/>
        <v>TinMineracao Taboca S.A.</v>
      </c>
    </row>
    <row r="59" spans="1:28" s="227" customFormat="1" ht="63.75">
      <c r="A59" s="181"/>
      <c r="B59" s="182" t="s">
        <v>1099</v>
      </c>
      <c r="C59" s="186" t="s">
        <v>13761</v>
      </c>
      <c r="D59" s="230"/>
      <c r="E59" s="182" t="s">
        <v>1074</v>
      </c>
      <c r="F59" s="182" t="s">
        <v>13775</v>
      </c>
      <c r="G59" s="182" t="s">
        <v>13177</v>
      </c>
      <c r="H59" s="183">
        <v>0</v>
      </c>
      <c r="I59" s="184" t="s">
        <v>14989</v>
      </c>
      <c r="J59" s="184" t="s">
        <v>12799</v>
      </c>
      <c r="K59" s="224"/>
      <c r="L59" s="224"/>
      <c r="M59" s="224"/>
      <c r="N59" s="224"/>
      <c r="O59" s="224"/>
      <c r="P59" s="185"/>
      <c r="Q59" s="225" t="s">
        <v>15842</v>
      </c>
      <c r="R59" s="182" t="str">
        <f ca="1">IF(ISERROR($V59),"",OFFSET('Smelter Look-up'!$C$4,$V59-4,0)&amp;"")</f>
        <v>PT Mitra Sukses Globalindo</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503</v>
      </c>
      <c r="X59" s="227">
        <f t="shared" si="6"/>
        <v>0</v>
      </c>
      <c r="AB59" s="228" t="str">
        <f t="shared" si="7"/>
        <v>TinPT Mitra Sukses Globalindo</v>
      </c>
    </row>
    <row r="60" spans="1:28" s="227" customFormat="1" ht="63.75">
      <c r="A60" s="181"/>
      <c r="B60" s="182" t="s">
        <v>1099</v>
      </c>
      <c r="C60" s="186" t="s">
        <v>15853</v>
      </c>
      <c r="D60" s="230"/>
      <c r="E60" s="182" t="s">
        <v>1074</v>
      </c>
      <c r="F60" s="182" t="s">
        <v>15854</v>
      </c>
      <c r="G60" s="182" t="s">
        <v>13177</v>
      </c>
      <c r="H60" s="183">
        <v>0</v>
      </c>
      <c r="I60" s="184" t="s">
        <v>15855</v>
      </c>
      <c r="J60" s="184" t="s">
        <v>12799</v>
      </c>
      <c r="K60" s="224"/>
      <c r="L60" s="224"/>
      <c r="M60" s="224"/>
      <c r="N60" s="224"/>
      <c r="O60" s="224"/>
      <c r="P60" s="185"/>
      <c r="Q60" s="225" t="s">
        <v>15842</v>
      </c>
      <c r="R60" s="182" t="str">
        <f ca="1">IF(ISERROR($V60),"",OFFSET('Smelter Look-up'!$C$4,$V60-4,0)&amp;"")</f>
        <v/>
      </c>
      <c r="S60" s="181" t="str">
        <f t="shared" ca="1" si="5"/>
        <v>ID</v>
      </c>
      <c r="T60" s="181" t="str">
        <f ca="1">IF(B60="","",IF(ISERROR(MATCH($J60,SorP!$B$1:$B$6226,0)),"",INDIRECT("'SorP'!$A$"&amp;MATCH($S60&amp;$J60,SorP!C:C,0))))</f>
        <v>ID-BB</v>
      </c>
      <c r="U60" s="201"/>
      <c r="V60" s="226" t="e">
        <f>IF(C60="",NA(),IF(OR(C60="Smelter not listed",C60="Smelter not yet identified"),MATCH($B60&amp;$D60,'Smelter Look-up'!$J:$J,0),MATCH($B60&amp;$C60,'Smelter Look-up'!$J:$J,0)))</f>
        <v>#N/A</v>
      </c>
      <c r="X60" s="227">
        <f t="shared" si="6"/>
        <v>0</v>
      </c>
      <c r="AB60" s="228" t="str">
        <f t="shared" si="7"/>
        <v>TinPT Babel Surya Alam Lestari</v>
      </c>
    </row>
    <row r="61" spans="1:28" s="227" customFormat="1" ht="63.75">
      <c r="A61" s="181"/>
      <c r="B61" s="182" t="s">
        <v>1099</v>
      </c>
      <c r="C61" s="186" t="s">
        <v>1367</v>
      </c>
      <c r="D61" s="230"/>
      <c r="E61" s="182" t="s">
        <v>1074</v>
      </c>
      <c r="F61" s="182" t="s">
        <v>1368</v>
      </c>
      <c r="G61" s="182" t="s">
        <v>13177</v>
      </c>
      <c r="H61" s="183">
        <v>0</v>
      </c>
      <c r="I61" s="184" t="s">
        <v>1726</v>
      </c>
      <c r="J61" s="184" t="s">
        <v>12799</v>
      </c>
      <c r="K61" s="224"/>
      <c r="L61" s="224"/>
      <c r="M61" s="224"/>
      <c r="N61" s="224"/>
      <c r="O61" s="224"/>
      <c r="P61" s="185"/>
      <c r="Q61" s="225" t="s">
        <v>15842</v>
      </c>
      <c r="R61" s="182" t="str">
        <f ca="1">IF(ISERROR($V61),"",OFFSET('Smelter Look-up'!$C$4,$V61-4,0)&amp;"")</f>
        <v>PT ATD Makmur Mandiri Jaya</v>
      </c>
      <c r="S61" s="181" t="str">
        <f t="shared" ca="1" si="5"/>
        <v>ID</v>
      </c>
      <c r="T61" s="181" t="str">
        <f ca="1">IF(B61="","",IF(ISERROR(MATCH($J61,SorP!$B$1:$B$6226,0)),"",INDIRECT("'SorP'!$A$"&amp;MATCH($S61&amp;$J61,SorP!C:C,0))))</f>
        <v>ID-BB</v>
      </c>
      <c r="U61" s="201"/>
      <c r="V61" s="226">
        <f>IF(C61="",NA(),IF(OR(C61="Smelter not listed",C61="Smelter not yet identified"),MATCH($B61&amp;$D61,'Smelter Look-up'!$J:$J,0),MATCH($B61&amp;$C61,'Smelter Look-up'!$J:$J,0)))</f>
        <v>499</v>
      </c>
      <c r="X61" s="227">
        <f t="shared" si="6"/>
        <v>0</v>
      </c>
      <c r="AB61" s="228" t="str">
        <f t="shared" si="7"/>
        <v>TinPT ATD Makmur Mandiri Jaya</v>
      </c>
    </row>
    <row r="62" spans="1:28" s="227" customFormat="1" ht="51">
      <c r="A62" s="181"/>
      <c r="B62" s="182" t="s">
        <v>1099</v>
      </c>
      <c r="C62" s="186" t="s">
        <v>15856</v>
      </c>
      <c r="D62" s="230"/>
      <c r="E62" s="182" t="s">
        <v>1074</v>
      </c>
      <c r="F62" s="182" t="s">
        <v>15857</v>
      </c>
      <c r="G62" s="182" t="s">
        <v>13177</v>
      </c>
      <c r="H62" s="183">
        <v>0</v>
      </c>
      <c r="I62" s="184" t="s">
        <v>15858</v>
      </c>
      <c r="J62" s="184" t="s">
        <v>12799</v>
      </c>
      <c r="K62" s="224"/>
      <c r="L62" s="224"/>
      <c r="M62" s="224"/>
      <c r="N62" s="224"/>
      <c r="O62" s="224"/>
      <c r="P62" s="185"/>
      <c r="Q62" s="225" t="s">
        <v>15842</v>
      </c>
      <c r="R62" s="182" t="str">
        <f ca="1">IF(ISERROR($V62),"",OFFSET('Smelter Look-up'!$C$4,$V62-4,0)&amp;"")</f>
        <v/>
      </c>
      <c r="S62" s="181" t="str">
        <f t="shared" ca="1" si="5"/>
        <v>ID</v>
      </c>
      <c r="T62" s="181" t="str">
        <f ca="1">IF(B62="","",IF(ISERROR(MATCH($J62,SorP!$B$1:$B$6226,0)),"",INDIRECT("'SorP'!$A$"&amp;MATCH($S62&amp;$J62,SorP!C:C,0))))</f>
        <v>ID-BB</v>
      </c>
      <c r="U62" s="201"/>
      <c r="V62" s="226" t="e">
        <f>IF(C62="",NA(),IF(OR(C62="Smelter not listed",C62="Smelter not yet identified"),MATCH($B62&amp;$D62,'Smelter Look-up'!$J:$J,0),MATCH($B62&amp;$C62,'Smelter Look-up'!$J:$J,0)))</f>
        <v>#N/A</v>
      </c>
      <c r="X62" s="227">
        <f t="shared" si="6"/>
        <v>0</v>
      </c>
      <c r="AB62" s="228" t="str">
        <f t="shared" si="7"/>
        <v>TinPT Rajawali Rimba Perkasa</v>
      </c>
    </row>
    <row r="63" spans="1:28" s="227" customFormat="1" ht="63.75">
      <c r="A63" s="181"/>
      <c r="B63" s="182" t="s">
        <v>1099</v>
      </c>
      <c r="C63" s="186" t="s">
        <v>15859</v>
      </c>
      <c r="D63" s="230"/>
      <c r="E63" s="182" t="s">
        <v>1074</v>
      </c>
      <c r="F63" s="182" t="s">
        <v>15860</v>
      </c>
      <c r="G63" s="182" t="s">
        <v>13177</v>
      </c>
      <c r="H63" s="183">
        <v>0</v>
      </c>
      <c r="I63" s="184" t="s">
        <v>1726</v>
      </c>
      <c r="J63" s="184" t="s">
        <v>12799</v>
      </c>
      <c r="K63" s="224"/>
      <c r="L63" s="224"/>
      <c r="M63" s="224"/>
      <c r="N63" s="224"/>
      <c r="O63" s="224"/>
      <c r="P63" s="185"/>
      <c r="Q63" s="225" t="s">
        <v>15842</v>
      </c>
      <c r="R63" s="182" t="str">
        <f ca="1">IF(ISERROR($V63),"",OFFSET('Smelter Look-up'!$C$4,$V63-4,0)&amp;"")</f>
        <v/>
      </c>
      <c r="S63" s="181" t="str">
        <f t="shared" ca="1" si="5"/>
        <v>ID</v>
      </c>
      <c r="T63" s="181" t="str">
        <f ca="1">IF(B63="","",IF(ISERROR(MATCH($J63,SorP!$B$1:$B$6226,0)),"",INDIRECT("'SorP'!$A$"&amp;MATCH($S63&amp;$J63,SorP!C:C,0))))</f>
        <v>ID-BB</v>
      </c>
      <c r="U63" s="201"/>
      <c r="V63" s="226" t="e">
        <f>IF(C63="",NA(),IF(OR(C63="Smelter not listed",C63="Smelter not yet identified"),MATCH($B63&amp;$D63,'Smelter Look-up'!$J:$J,0),MATCH($B63&amp;$C63,'Smelter Look-up'!$J:$J,0)))</f>
        <v>#N/A</v>
      </c>
      <c r="X63" s="227">
        <f t="shared" si="6"/>
        <v>0</v>
      </c>
      <c r="AB63" s="228" t="str">
        <f t="shared" si="7"/>
        <v>TinPT Artha Cipta Langgeng</v>
      </c>
    </row>
    <row r="64" spans="1:28" s="227" customFormat="1" ht="51">
      <c r="A64" s="181"/>
      <c r="B64" s="182" t="s">
        <v>1099</v>
      </c>
      <c r="C64" s="186" t="s">
        <v>15861</v>
      </c>
      <c r="D64" s="230"/>
      <c r="E64" s="182" t="s">
        <v>1074</v>
      </c>
      <c r="F64" s="182" t="s">
        <v>15862</v>
      </c>
      <c r="G64" s="182" t="s">
        <v>13177</v>
      </c>
      <c r="H64" s="183">
        <v>0</v>
      </c>
      <c r="I64" s="184" t="s">
        <v>14986</v>
      </c>
      <c r="J64" s="184" t="s">
        <v>12799</v>
      </c>
      <c r="K64" s="224"/>
      <c r="L64" s="224"/>
      <c r="M64" s="224"/>
      <c r="N64" s="224"/>
      <c r="O64" s="224"/>
      <c r="P64" s="185"/>
      <c r="Q64" s="225" t="s">
        <v>15842</v>
      </c>
      <c r="R64" s="182" t="str">
        <f ca="1">IF(ISERROR($V64),"",OFFSET('Smelter Look-up'!$C$4,$V64-4,0)&amp;"")</f>
        <v/>
      </c>
      <c r="S64" s="181" t="str">
        <f t="shared" ca="1" si="5"/>
        <v>ID</v>
      </c>
      <c r="T64" s="181" t="str">
        <f ca="1">IF(B64="","",IF(ISERROR(MATCH($J64,SorP!$B$1:$B$6226,0)),"",INDIRECT("'SorP'!$A$"&amp;MATCH($S64&amp;$J64,SorP!C:C,0))))</f>
        <v>ID-BB</v>
      </c>
      <c r="U64" s="201"/>
      <c r="V64" s="226" t="e">
        <f>IF(C64="",NA(),IF(OR(C64="Smelter not listed",C64="Smelter not yet identified"),MATCH($B64&amp;$D64,'Smelter Look-up'!$J:$J,0),MATCH($B64&amp;$C64,'Smelter Look-up'!$J:$J,0)))</f>
        <v>#N/A</v>
      </c>
      <c r="X64" s="227">
        <f t="shared" si="6"/>
        <v>0</v>
      </c>
      <c r="AB64" s="228" t="str">
        <f t="shared" si="7"/>
        <v>TinPT Stanindo Inti Perkasa</v>
      </c>
    </row>
    <row r="65" spans="1:28" s="227" customFormat="1" ht="38.25">
      <c r="A65" s="181"/>
      <c r="B65" s="182" t="s">
        <v>1099</v>
      </c>
      <c r="C65" s="186" t="s">
        <v>13760</v>
      </c>
      <c r="D65" s="230"/>
      <c r="E65" s="182" t="s">
        <v>13050</v>
      </c>
      <c r="F65" s="182" t="s">
        <v>13774</v>
      </c>
      <c r="G65" s="182" t="s">
        <v>13177</v>
      </c>
      <c r="H65" s="183">
        <v>0</v>
      </c>
      <c r="I65" s="184" t="s">
        <v>13785</v>
      </c>
      <c r="J65" s="184" t="s">
        <v>10012</v>
      </c>
      <c r="K65" s="224"/>
      <c r="L65" s="224"/>
      <c r="M65" s="224"/>
      <c r="N65" s="224"/>
      <c r="O65" s="224"/>
      <c r="P65" s="185"/>
      <c r="Q65" s="225" t="s">
        <v>15842</v>
      </c>
      <c r="R65" s="182" t="str">
        <f ca="1">IF(ISERROR($V65),"",OFFSET('Smelter Look-up'!$C$4,$V65-4,0)&amp;"")</f>
        <v>Luna Smelter, Ltd.</v>
      </c>
      <c r="S65" s="181" t="str">
        <f t="shared" ca="1" si="5"/>
        <v>RW</v>
      </c>
      <c r="T65" s="181" t="str">
        <f ca="1">IF(B65="","",IF(ISERROR(MATCH($J65,SorP!$B$1:$B$6226,0)),"",INDIRECT("'SorP'!$A$"&amp;MATCH($S65&amp;$J65,SorP!C:C,0))))</f>
        <v>RW-01</v>
      </c>
      <c r="U65" s="201"/>
      <c r="V65" s="226">
        <f>IF(C65="",NA(),IF(OR(C65="Smelter not listed",C65="Smelter not yet identified"),MATCH($B65&amp;$D65,'Smelter Look-up'!$J:$J,0),MATCH($B65&amp;$C65,'Smelter Look-up'!$J:$J,0)))</f>
        <v>465</v>
      </c>
      <c r="X65" s="227">
        <f t="shared" si="6"/>
        <v>0</v>
      </c>
      <c r="AB65" s="228" t="str">
        <f t="shared" si="7"/>
        <v>TinLuna Smelter, Ltd.</v>
      </c>
    </row>
    <row r="66" spans="1:28" s="227" customFormat="1" ht="51">
      <c r="A66" s="181"/>
      <c r="B66" s="182" t="s">
        <v>1099</v>
      </c>
      <c r="C66" s="186" t="s">
        <v>610</v>
      </c>
      <c r="D66" s="230"/>
      <c r="E66" s="182" t="s">
        <v>1074</v>
      </c>
      <c r="F66" s="182" t="s">
        <v>759</v>
      </c>
      <c r="G66" s="182" t="s">
        <v>13177</v>
      </c>
      <c r="H66" s="183">
        <v>0</v>
      </c>
      <c r="I66" s="184" t="s">
        <v>1726</v>
      </c>
      <c r="J66" s="184" t="s">
        <v>12799</v>
      </c>
      <c r="K66" s="224"/>
      <c r="L66" s="224"/>
      <c r="M66" s="224"/>
      <c r="N66" s="224"/>
      <c r="O66" s="224"/>
      <c r="P66" s="185"/>
      <c r="Q66" s="225" t="s">
        <v>15842</v>
      </c>
      <c r="R66" s="182" t="str">
        <f ca="1">IF(ISERROR($V66),"",OFFSET('Smelter Look-up'!$C$4,$V66-4,0)&amp;"")</f>
        <v>PT Mitra Stania Prima</v>
      </c>
      <c r="S66" s="181" t="str">
        <f t="shared" ca="1" si="5"/>
        <v>ID</v>
      </c>
      <c r="T66" s="181" t="str">
        <f ca="1">IF(B66="","",IF(ISERROR(MATCH($J66,SorP!$B$1:$B$6226,0)),"",INDIRECT("'SorP'!$A$"&amp;MATCH($S66&amp;$J66,SorP!C:C,0))))</f>
        <v>ID-BB</v>
      </c>
      <c r="U66" s="201"/>
      <c r="V66" s="226">
        <f>IF(C66="",NA(),IF(OR(C66="Smelter not listed",C66="Smelter not yet identified"),MATCH($B66&amp;$D66,'Smelter Look-up'!$J:$J,0),MATCH($B66&amp;$C66,'Smelter Look-up'!$J:$J,0)))</f>
        <v>502</v>
      </c>
      <c r="X66" s="227">
        <f t="shared" si="6"/>
        <v>0</v>
      </c>
      <c r="AB66" s="228" t="str">
        <f t="shared" si="7"/>
        <v>TinPT Mitra Stania Prima</v>
      </c>
    </row>
    <row r="67" spans="1:28" s="227" customFormat="1" ht="63.75">
      <c r="A67" s="181"/>
      <c r="B67" s="182" t="s">
        <v>1099</v>
      </c>
      <c r="C67" s="186" t="s">
        <v>15863</v>
      </c>
      <c r="D67" s="230"/>
      <c r="E67" s="182" t="s">
        <v>1074</v>
      </c>
      <c r="F67" s="182" t="s">
        <v>15864</v>
      </c>
      <c r="G67" s="182" t="s">
        <v>13177</v>
      </c>
      <c r="H67" s="183">
        <v>0</v>
      </c>
      <c r="I67" s="184" t="s">
        <v>14986</v>
      </c>
      <c r="J67" s="184" t="s">
        <v>12799</v>
      </c>
      <c r="K67" s="224"/>
      <c r="L67" s="224"/>
      <c r="M67" s="224"/>
      <c r="N67" s="224"/>
      <c r="O67" s="224"/>
      <c r="P67" s="185"/>
      <c r="Q67" s="225" t="s">
        <v>15842</v>
      </c>
      <c r="R67" s="182" t="str">
        <f ca="1">IF(ISERROR($V67),"",OFFSET('Smelter Look-up'!$C$4,$V67-4,0)&amp;"")</f>
        <v/>
      </c>
      <c r="S67" s="181" t="str">
        <f t="shared" ca="1" si="5"/>
        <v>ID</v>
      </c>
      <c r="T67" s="181" t="str">
        <f ca="1">IF(B67="","",IF(ISERROR(MATCH($J67,SorP!$B$1:$B$6226,0)),"",INDIRECT("'SorP'!$A$"&amp;MATCH($S67&amp;$J67,SorP!C:C,0))))</f>
        <v>ID-BB</v>
      </c>
      <c r="U67" s="201"/>
      <c r="V67" s="226" t="e">
        <f>IF(C67="",NA(),IF(OR(C67="Smelter not listed",C67="Smelter not yet identified"),MATCH($B67&amp;$D67,'Smelter Look-up'!$J:$J,0),MATCH($B67&amp;$C67,'Smelter Look-up'!$J:$J,0)))</f>
        <v>#N/A</v>
      </c>
      <c r="X67" s="227">
        <f t="shared" si="6"/>
        <v>0</v>
      </c>
      <c r="AB67" s="228" t="str">
        <f t="shared" si="7"/>
        <v>TinPT Sariwiguna Binasentosa</v>
      </c>
    </row>
    <row r="68" spans="1:28" s="227" customFormat="1" ht="51">
      <c r="A68" s="181"/>
      <c r="B68" s="182" t="s">
        <v>1099</v>
      </c>
      <c r="C68" s="186" t="s">
        <v>15865</v>
      </c>
      <c r="D68" s="230"/>
      <c r="E68" s="182" t="s">
        <v>1074</v>
      </c>
      <c r="F68" s="182" t="s">
        <v>15866</v>
      </c>
      <c r="G68" s="182" t="s">
        <v>13177</v>
      </c>
      <c r="H68" s="183">
        <v>0</v>
      </c>
      <c r="I68" s="184" t="s">
        <v>15867</v>
      </c>
      <c r="J68" s="184" t="s">
        <v>12799</v>
      </c>
      <c r="K68" s="224"/>
      <c r="L68" s="224"/>
      <c r="M68" s="224"/>
      <c r="N68" s="224"/>
      <c r="O68" s="224"/>
      <c r="P68" s="185"/>
      <c r="Q68" s="225" t="s">
        <v>15842</v>
      </c>
      <c r="R68" s="182" t="str">
        <f ca="1">IF(ISERROR($V68),"",OFFSET('Smelter Look-up'!$C$4,$V68-4,0)&amp;"")</f>
        <v/>
      </c>
      <c r="S68" s="181" t="str">
        <f t="shared" ca="1" si="5"/>
        <v>ID</v>
      </c>
      <c r="T68" s="181" t="str">
        <f ca="1">IF(B68="","",IF(ISERROR(MATCH($J68,SorP!$B$1:$B$6226,0)),"",INDIRECT("'SorP'!$A$"&amp;MATCH($S68&amp;$J68,SorP!C:C,0))))</f>
        <v>ID-BB</v>
      </c>
      <c r="U68" s="201"/>
      <c r="V68" s="226" t="e">
        <f>IF(C68="",NA(),IF(OR(C68="Smelter not listed",C68="Smelter not yet identified"),MATCH($B68&amp;$D68,'Smelter Look-up'!$J:$J,0),MATCH($B68&amp;$C68,'Smelter Look-up'!$J:$J,0)))</f>
        <v>#N/A</v>
      </c>
      <c r="X68" s="227">
        <f t="shared" si="6"/>
        <v>0</v>
      </c>
      <c r="AB68" s="228" t="str">
        <f t="shared" si="7"/>
        <v>TinPT Sukses Inti Makmur</v>
      </c>
    </row>
    <row r="69" spans="1:28" s="227" customFormat="1" ht="76.5">
      <c r="A69" s="181"/>
      <c r="B69" s="182" t="s">
        <v>1099</v>
      </c>
      <c r="C69" s="186" t="s">
        <v>2121</v>
      </c>
      <c r="D69" s="230"/>
      <c r="E69" s="182" t="s">
        <v>1065</v>
      </c>
      <c r="F69" s="182" t="s">
        <v>131</v>
      </c>
      <c r="G69" s="182" t="s">
        <v>13177</v>
      </c>
      <c r="H69" s="183">
        <v>0</v>
      </c>
      <c r="I69" s="184" t="s">
        <v>1683</v>
      </c>
      <c r="J69" s="184" t="s">
        <v>1515</v>
      </c>
      <c r="K69" s="224"/>
      <c r="L69" s="224"/>
      <c r="M69" s="224"/>
      <c r="N69" s="224"/>
      <c r="O69" s="224"/>
      <c r="P69" s="185"/>
      <c r="Q69" s="225" t="s">
        <v>15842</v>
      </c>
      <c r="R69" s="182" t="str">
        <f ca="1">IF(ISERROR($V69),"",OFFSET('Smelter Look-up'!$C$4,$V69-4,0)&amp;"")</f>
        <v>Magnu's Minerais Metais e Ligas Ltda.</v>
      </c>
      <c r="S69" s="181" t="str">
        <f t="shared" ref="S69" ca="1" si="8">IF(B69="","",IF(ISERROR(MATCH($E69,CL,0)),"Unknown",INDIRECT("'C'!$A$"&amp;MATCH($E69,CL,0)+1)))</f>
        <v>BR</v>
      </c>
      <c r="T69" s="181" t="str">
        <f ca="1">IF(B69="","",IF(ISERROR(MATCH($J69,SorP!$B$1:$B$6226,0)),"",INDIRECT("'SorP'!$A$"&amp;MATCH($S69&amp;$J69,SorP!C:C,0))))</f>
        <v>BR-MG</v>
      </c>
      <c r="U69" s="201"/>
      <c r="V69" s="226">
        <f>IF(C69="",NA(),IF(OR(C69="Smelter not listed",C69="Smelter not yet identified"),MATCH($B69&amp;$D69,'Smelter Look-up'!$J:$J,0),MATCH($B69&amp;$C69,'Smelter Look-up'!$J:$J,0)))</f>
        <v>467</v>
      </c>
      <c r="X69" s="227">
        <f t="shared" ref="X69" si="9">IF(AND(C69="Smelter not listed",OR(LEN(D69)=0,LEN(E69)=0)),1,0)</f>
        <v>0</v>
      </c>
      <c r="AB69" s="228" t="str">
        <f t="shared" ref="AB69" si="10">B69&amp;C69</f>
        <v>TinMagnu's Minerais Metais e Ligas Ltda.</v>
      </c>
    </row>
    <row r="70" spans="1:28" s="227" customFormat="1" ht="51">
      <c r="A70" s="181"/>
      <c r="B70" s="182" t="s">
        <v>1099</v>
      </c>
      <c r="C70" s="186" t="s">
        <v>15713</v>
      </c>
      <c r="D70" s="230"/>
      <c r="E70" s="182" t="s">
        <v>1074</v>
      </c>
      <c r="F70" s="182" t="s">
        <v>15714</v>
      </c>
      <c r="G70" s="182" t="s">
        <v>13177</v>
      </c>
      <c r="H70" s="183">
        <v>0</v>
      </c>
      <c r="I70" s="184" t="s">
        <v>14986</v>
      </c>
      <c r="J70" s="184" t="s">
        <v>12799</v>
      </c>
      <c r="K70" s="224"/>
      <c r="L70" s="224"/>
      <c r="M70" s="224"/>
      <c r="N70" s="224"/>
      <c r="O70" s="224"/>
      <c r="P70" s="185"/>
      <c r="Q70" s="225" t="s">
        <v>15842</v>
      </c>
      <c r="R70" s="182" t="str">
        <f ca="1">IF(ISERROR($V70),"",OFFSET('Smelter Look-up'!$C$4,$V70-4,0)&amp;"")</f>
        <v>PT Prima Timah Utama</v>
      </c>
      <c r="S70" s="181" t="str">
        <f t="shared" ref="S70:S101" ca="1" si="11">IF(B70="","",IF(ISERROR(MATCH($E70,CL,0)),"Unknown",INDIRECT("'C'!$A$"&amp;MATCH($E70,CL,0)+1)))</f>
        <v>ID</v>
      </c>
      <c r="T70" s="181" t="str">
        <f ca="1">IF(B70="","",IF(ISERROR(MATCH($J70,SorP!$B$1:$B$6226,0)),"",INDIRECT("'SorP'!$A$"&amp;MATCH($S70&amp;$J70,SorP!C:C,0))))</f>
        <v>ID-BB</v>
      </c>
      <c r="U70" s="201"/>
      <c r="V70" s="226">
        <f>IF(C70="",NA(),IF(OR(C70="Smelter not listed",C70="Smelter not yet identified"),MATCH($B70&amp;$D70,'Smelter Look-up'!$J:$J,0),MATCH($B70&amp;$C70,'Smelter Look-up'!$J:$J,0)))</f>
        <v>505</v>
      </c>
      <c r="X70" s="227">
        <f t="shared" ref="X70:X101" si="12">IF(AND(C70="Smelter not listed",OR(LEN(D70)=0,LEN(E70)=0)),1,0)</f>
        <v>0</v>
      </c>
      <c r="AB70" s="228" t="str">
        <f t="shared" ref="AB70:AB101" si="13">B70&amp;C70</f>
        <v>TinPT Prima Timah Utama</v>
      </c>
    </row>
    <row r="71" spans="1:28" s="227" customFormat="1" ht="38.25">
      <c r="A71" s="181"/>
      <c r="B71" s="182" t="s">
        <v>1099</v>
      </c>
      <c r="C71" s="186" t="s">
        <v>15341</v>
      </c>
      <c r="D71" s="230"/>
      <c r="E71" s="182" t="s">
        <v>1064</v>
      </c>
      <c r="F71" s="182" t="s">
        <v>1772</v>
      </c>
      <c r="G71" s="182" t="s">
        <v>13177</v>
      </c>
      <c r="H71" s="183">
        <v>0</v>
      </c>
      <c r="I71" s="184" t="s">
        <v>1773</v>
      </c>
      <c r="J71" s="184" t="s">
        <v>3104</v>
      </c>
      <c r="K71" s="224"/>
      <c r="L71" s="224"/>
      <c r="M71" s="224"/>
      <c r="N71" s="224"/>
      <c r="O71" s="224"/>
      <c r="P71" s="185"/>
      <c r="Q71" s="225"/>
      <c r="R71" s="182" t="str">
        <f ca="1">IF(ISERROR($V71),"",OFFSET('Smelter Look-up'!$C$4,$V71-4,0)&amp;"")</f>
        <v>Aurubis Beerse</v>
      </c>
      <c r="S71" s="181" t="str">
        <f t="shared" ca="1" si="11"/>
        <v>BE</v>
      </c>
      <c r="T71" s="181" t="str">
        <f ca="1">IF(B71="","",IF(ISERROR(MATCH($J71,SorP!$B$1:$B$6226,0)),"",INDIRECT("'SorP'!$A$"&amp;MATCH($S71&amp;$J71,SorP!C:C,0))))</f>
        <v>BE-VAN</v>
      </c>
      <c r="U71" s="201"/>
      <c r="V71" s="226">
        <f>IF(C71="",NA(),IF(OR(C71="Smelter not listed",C71="Smelter not yet identified"),MATCH($B71&amp;$D71,'Smelter Look-up'!$J:$J,0),MATCH($B71&amp;$C71,'Smelter Look-up'!$J:$J,0)))</f>
        <v>404</v>
      </c>
      <c r="X71" s="227">
        <f t="shared" si="12"/>
        <v>0</v>
      </c>
      <c r="AB71" s="228" t="str">
        <f t="shared" si="13"/>
        <v>TinAurubis Beerse</v>
      </c>
    </row>
    <row r="72" spans="1:28" s="227" customFormat="1" ht="76.5">
      <c r="A72" s="181"/>
      <c r="B72" s="182" t="s">
        <v>1099</v>
      </c>
      <c r="C72" s="186" t="s">
        <v>1754</v>
      </c>
      <c r="D72" s="230"/>
      <c r="E72" s="182" t="s">
        <v>859</v>
      </c>
      <c r="F72" s="182" t="s">
        <v>763</v>
      </c>
      <c r="G72" s="182" t="s">
        <v>13177</v>
      </c>
      <c r="H72" s="183">
        <v>0</v>
      </c>
      <c r="I72" s="184" t="s">
        <v>1752</v>
      </c>
      <c r="J72" s="184" t="s">
        <v>1753</v>
      </c>
      <c r="K72" s="224"/>
      <c r="L72" s="224"/>
      <c r="M72" s="224"/>
      <c r="N72" s="224"/>
      <c r="O72" s="224"/>
      <c r="P72" s="185"/>
      <c r="Q72" s="225"/>
      <c r="R72" s="182" t="str">
        <f ca="1">IF(ISERROR($V72),"",OFFSET('Smelter Look-up'!$C$4,$V72-4,0)&amp;"")</f>
        <v>Thaisarco</v>
      </c>
      <c r="S72" s="181" t="str">
        <f t="shared" ca="1" si="11"/>
        <v>TH</v>
      </c>
      <c r="T72" s="181" t="str">
        <f ca="1">IF(B72="","",IF(ISERROR(MATCH($J72,SorP!$B$1:$B$6226,0)),"",INDIRECT("'SorP'!$A$"&amp;MATCH($S72&amp;$J72,SorP!C:C,0))))</f>
        <v>TH-83</v>
      </c>
      <c r="U72" s="201"/>
      <c r="V72" s="226">
        <f>IF(C72="",NA(),IF(OR(C72="Smelter not listed",C72="Smelter not yet identified"),MATCH($B72&amp;$D72,'Smelter Look-up'!$J:$J,0),MATCH($B72&amp;$C72,'Smelter Look-up'!$J:$J,0)))</f>
        <v>520</v>
      </c>
      <c r="X72" s="227">
        <f t="shared" si="12"/>
        <v>0</v>
      </c>
      <c r="AB72" s="228" t="str">
        <f t="shared" si="13"/>
        <v>TinThailand Smelting &amp; Refining Co Ltd</v>
      </c>
    </row>
    <row r="73" spans="1:28" s="227" customFormat="1" ht="51">
      <c r="A73" s="181"/>
      <c r="B73" s="182" t="s">
        <v>1099</v>
      </c>
      <c r="C73" s="186" t="s">
        <v>13714</v>
      </c>
      <c r="D73" s="230"/>
      <c r="E73" s="182" t="s">
        <v>1074</v>
      </c>
      <c r="F73" s="182" t="s">
        <v>777</v>
      </c>
      <c r="G73" s="182" t="s">
        <v>13177</v>
      </c>
      <c r="H73" s="183">
        <v>0</v>
      </c>
      <c r="I73" s="184" t="s">
        <v>1749</v>
      </c>
      <c r="J73" s="184" t="s">
        <v>6016</v>
      </c>
      <c r="K73" s="224"/>
      <c r="L73" s="224"/>
      <c r="M73" s="224"/>
      <c r="N73" s="224"/>
      <c r="O73" s="224"/>
      <c r="P73" s="185"/>
      <c r="Q73" s="225"/>
      <c r="R73" s="182" t="str">
        <f ca="1">IF(ISERROR($V73),"",OFFSET('Smelter Look-up'!$C$4,$V73-4,0)&amp;"")</f>
        <v>PT Timah Tbk Kundur</v>
      </c>
      <c r="S73" s="181" t="str">
        <f t="shared" ca="1" si="11"/>
        <v>ID</v>
      </c>
      <c r="T73" s="181" t="str">
        <f ca="1">IF(B73="","",IF(ISERROR(MATCH($J73,SorP!$B$1:$B$6226,0)),"",INDIRECT("'SorP'!$A$"&amp;MATCH($S73&amp;$J73,SorP!C:C,0))))</f>
        <v>ID-RI</v>
      </c>
      <c r="U73" s="201"/>
      <c r="V73" s="226">
        <f>IF(C73="",NA(),IF(OR(C73="Smelter not listed",C73="Smelter not yet identified"),MATCH($B73&amp;$D73,'Smelter Look-up'!$J:$J,0),MATCH($B73&amp;$C73,'Smelter Look-up'!$J:$J,0)))</f>
        <v>509</v>
      </c>
      <c r="X73" s="227">
        <f t="shared" si="12"/>
        <v>0</v>
      </c>
      <c r="AB73" s="228" t="str">
        <f t="shared" si="13"/>
        <v>TinPT Timah Tbk Kundur</v>
      </c>
    </row>
    <row r="74" spans="1:28" s="227" customFormat="1" ht="51">
      <c r="A74" s="181"/>
      <c r="B74" s="182" t="s">
        <v>1099</v>
      </c>
      <c r="C74" s="186" t="s">
        <v>13713</v>
      </c>
      <c r="D74" s="230"/>
      <c r="E74" s="182" t="s">
        <v>1074</v>
      </c>
      <c r="F74" s="182" t="s">
        <v>760</v>
      </c>
      <c r="G74" s="182" t="s">
        <v>13177</v>
      </c>
      <c r="H74" s="183">
        <v>0</v>
      </c>
      <c r="I74" s="184" t="s">
        <v>1751</v>
      </c>
      <c r="J74" s="184" t="s">
        <v>12799</v>
      </c>
      <c r="K74" s="224"/>
      <c r="L74" s="224"/>
      <c r="M74" s="224"/>
      <c r="N74" s="224"/>
      <c r="O74" s="224"/>
      <c r="P74" s="185"/>
      <c r="Q74" s="225"/>
      <c r="R74" s="182" t="str">
        <f ca="1">IF(ISERROR($V74),"",OFFSET('Smelter Look-up'!$C$4,$V74-4,0)&amp;"")</f>
        <v>PT Timah Tbk Mentok</v>
      </c>
      <c r="S74" s="181" t="str">
        <f t="shared" ca="1" si="11"/>
        <v>ID</v>
      </c>
      <c r="T74" s="181" t="str">
        <f ca="1">IF(B74="","",IF(ISERROR(MATCH($J74,SorP!$B$1:$B$6226,0)),"",INDIRECT("'SorP'!$A$"&amp;MATCH($S74&amp;$J74,SorP!C:C,0))))</f>
        <v>ID-BB</v>
      </c>
      <c r="U74" s="201"/>
      <c r="V74" s="226">
        <f>IF(C74="",NA(),IF(OR(C74="Smelter not listed",C74="Smelter not yet identified"),MATCH($B74&amp;$D74,'Smelter Look-up'!$J:$J,0),MATCH($B74&amp;$C74,'Smelter Look-up'!$J:$J,0)))</f>
        <v>510</v>
      </c>
      <c r="X74" s="227">
        <f t="shared" si="12"/>
        <v>0</v>
      </c>
      <c r="AB74" s="228" t="str">
        <f t="shared" si="13"/>
        <v>TinPT Timah Tbk Mentok</v>
      </c>
    </row>
    <row r="75" spans="1:28" s="227" customFormat="1" ht="51">
      <c r="A75" s="181"/>
      <c r="B75" s="182" t="s">
        <v>1099</v>
      </c>
      <c r="C75" s="186" t="s">
        <v>15836</v>
      </c>
      <c r="D75" s="230"/>
      <c r="E75" s="182" t="s">
        <v>1074</v>
      </c>
      <c r="F75" s="182" t="s">
        <v>15835</v>
      </c>
      <c r="G75" s="182" t="s">
        <v>13177</v>
      </c>
      <c r="H75" s="183">
        <v>0</v>
      </c>
      <c r="I75" s="184" t="s">
        <v>1726</v>
      </c>
      <c r="J75" s="184" t="s">
        <v>12799</v>
      </c>
      <c r="K75" s="224"/>
      <c r="L75" s="224"/>
      <c r="M75" s="224"/>
      <c r="N75" s="224"/>
      <c r="O75" s="224"/>
      <c r="P75" s="185"/>
      <c r="Q75" s="225"/>
      <c r="R75" s="182" t="str">
        <f ca="1">IF(ISERROR($V75),"",OFFSET('Smelter Look-up'!$C$4,$V75-4,0)&amp;"")</f>
        <v/>
      </c>
      <c r="S75" s="181" t="str">
        <f t="shared" ca="1" si="11"/>
        <v>ID</v>
      </c>
      <c r="T75" s="181" t="str">
        <f ca="1">IF(B75="","",IF(ISERROR(MATCH($J75,SorP!$B$1:$B$6226,0)),"",INDIRECT("'SorP'!$A$"&amp;MATCH($S75&amp;$J75,SorP!C:C,0))))</f>
        <v>ID-BB</v>
      </c>
      <c r="U75" s="201"/>
      <c r="V75" s="226" t="e">
        <f>IF(C75="",NA(),IF(OR(C75="Smelter not listed",C75="Smelter not yet identified"),MATCH($B75&amp;$D75,'Smelter Look-up'!$J:$J,0),MATCH($B75&amp;$C75,'Smelter Look-up'!$J:$J,0)))</f>
        <v>#N/A</v>
      </c>
      <c r="X75" s="227">
        <f t="shared" si="12"/>
        <v>0</v>
      </c>
      <c r="AB75" s="228" t="str">
        <f t="shared" si="13"/>
        <v>TinPT Refined Bangka Tin</v>
      </c>
    </row>
    <row r="76" spans="1:28" s="227" customFormat="1" ht="51">
      <c r="A76" s="181"/>
      <c r="B76" s="182" t="s">
        <v>1099</v>
      </c>
      <c r="C76" s="186" t="s">
        <v>15834</v>
      </c>
      <c r="D76" s="230"/>
      <c r="E76" s="182" t="s">
        <v>1074</v>
      </c>
      <c r="F76" s="182" t="s">
        <v>15833</v>
      </c>
      <c r="G76" s="182" t="s">
        <v>13177</v>
      </c>
      <c r="H76" s="183">
        <v>0</v>
      </c>
      <c r="I76" s="184" t="s">
        <v>14989</v>
      </c>
      <c r="J76" s="184" t="s">
        <v>12799</v>
      </c>
      <c r="K76" s="224"/>
      <c r="L76" s="224"/>
      <c r="M76" s="224"/>
      <c r="N76" s="224"/>
      <c r="O76" s="224"/>
      <c r="P76" s="185"/>
      <c r="Q76" s="225"/>
      <c r="R76" s="182" t="str">
        <f ca="1">IF(ISERROR($V76),"",OFFSET('Smelter Look-up'!$C$4,$V76-4,0)&amp;"")</f>
        <v/>
      </c>
      <c r="S76" s="181" t="str">
        <f t="shared" ca="1" si="11"/>
        <v>ID</v>
      </c>
      <c r="T76" s="181" t="str">
        <f ca="1">IF(B76="","",IF(ISERROR(MATCH($J76,SorP!$B$1:$B$6226,0)),"",INDIRECT("'SorP'!$A$"&amp;MATCH($S76&amp;$J76,SorP!C:C,0))))</f>
        <v>ID-BB</v>
      </c>
      <c r="U76" s="201"/>
      <c r="V76" s="226" t="e">
        <f>IF(C76="",NA(),IF(OR(C76="Smelter not listed",C76="Smelter not yet identified"),MATCH($B76&amp;$D76,'Smelter Look-up'!$J:$J,0),MATCH($B76&amp;$C76,'Smelter Look-up'!$J:$J,0)))</f>
        <v>#N/A</v>
      </c>
      <c r="X76" s="227">
        <f t="shared" si="12"/>
        <v>0</v>
      </c>
      <c r="AB76" s="228" t="str">
        <f t="shared" si="13"/>
        <v>TinPT Bangka Serumpun</v>
      </c>
    </row>
    <row r="77" spans="1:28" s="227" customFormat="1" ht="76.5">
      <c r="A77" s="181"/>
      <c r="B77" s="182" t="s">
        <v>1099</v>
      </c>
      <c r="C77" s="186" t="s">
        <v>1754</v>
      </c>
      <c r="D77" s="230"/>
      <c r="E77" s="182" t="s">
        <v>859</v>
      </c>
      <c r="F77" s="182" t="s">
        <v>763</v>
      </c>
      <c r="G77" s="182" t="s">
        <v>13177</v>
      </c>
      <c r="H77" s="183">
        <v>0</v>
      </c>
      <c r="I77" s="184" t="s">
        <v>1752</v>
      </c>
      <c r="J77" s="184" t="s">
        <v>1753</v>
      </c>
      <c r="K77" s="224"/>
      <c r="L77" s="224"/>
      <c r="M77" s="224"/>
      <c r="N77" s="224"/>
      <c r="O77" s="224"/>
      <c r="P77" s="185"/>
      <c r="Q77" s="225"/>
      <c r="R77" s="182" t="str">
        <f ca="1">IF(ISERROR($V77),"",OFFSET('Smelter Look-up'!$C$4,$V77-4,0)&amp;"")</f>
        <v>Thaisarco</v>
      </c>
      <c r="S77" s="181" t="str">
        <f t="shared" ca="1" si="11"/>
        <v>TH</v>
      </c>
      <c r="T77" s="181" t="str">
        <f ca="1">IF(B77="","",IF(ISERROR(MATCH($J77,SorP!$B$1:$B$6226,0)),"",INDIRECT("'SorP'!$A$"&amp;MATCH($S77&amp;$J77,SorP!C:C,0))))</f>
        <v>TH-83</v>
      </c>
      <c r="U77" s="201"/>
      <c r="V77" s="226">
        <f>IF(C77="",NA(),IF(OR(C77="Smelter not listed",C77="Smelter not yet identified"),MATCH($B77&amp;$D77,'Smelter Look-up'!$J:$J,0),MATCH($B77&amp;$C77,'Smelter Look-up'!$J:$J,0)))</f>
        <v>520</v>
      </c>
      <c r="X77" s="227">
        <f t="shared" si="12"/>
        <v>0</v>
      </c>
      <c r="AB77" s="228" t="str">
        <f t="shared" si="13"/>
        <v>TinThailand Smelting &amp; Refining Co Ltd</v>
      </c>
    </row>
    <row r="78" spans="1:28" s="227" customFormat="1" ht="25.5">
      <c r="A78" s="181"/>
      <c r="B78" s="182" t="s">
        <v>1099</v>
      </c>
      <c r="C78" s="186" t="s">
        <v>788</v>
      </c>
      <c r="D78" s="230"/>
      <c r="E78" s="182" t="s">
        <v>853</v>
      </c>
      <c r="F78" s="182" t="s">
        <v>747</v>
      </c>
      <c r="G78" s="182" t="s">
        <v>13177</v>
      </c>
      <c r="H78" s="183">
        <v>0</v>
      </c>
      <c r="I78" s="184" t="s">
        <v>1730</v>
      </c>
      <c r="J78" s="184" t="s">
        <v>9448</v>
      </c>
      <c r="K78" s="224"/>
      <c r="L78" s="224"/>
      <c r="M78" s="224"/>
      <c r="N78" s="224"/>
      <c r="O78" s="224"/>
      <c r="P78" s="185"/>
      <c r="Q78" s="225"/>
      <c r="R78" s="182" t="str">
        <f ca="1">IF(ISERROR($V78),"",OFFSET('Smelter Look-up'!$C$4,$V78-4,0)&amp;"")</f>
        <v>Fenix Metals</v>
      </c>
      <c r="S78" s="181" t="str">
        <f t="shared" ca="1" si="11"/>
        <v>PL</v>
      </c>
      <c r="T78" s="181" t="str">
        <f ca="1">IF(B78="","",IF(ISERROR(MATCH($J78,SorP!$B$1:$B$6226,0)),"",INDIRECT("'SorP'!$A$"&amp;MATCH($S78&amp;$J78,SorP!C:C,0))))</f>
        <v>PL-18</v>
      </c>
      <c r="U78" s="201"/>
      <c r="V78" s="226">
        <f>IF(C78="",NA(),IF(OR(C78="Smelter not listed",C78="Smelter not yet identified"),MATCH($B78&amp;$D78,'Smelter Look-up'!$J:$J,0),MATCH($B78&amp;$C78,'Smelter Look-up'!$J:$J,0)))</f>
        <v>437</v>
      </c>
      <c r="X78" s="227">
        <f t="shared" si="12"/>
        <v>0</v>
      </c>
      <c r="AB78" s="228" t="str">
        <f t="shared" si="13"/>
        <v>TinFenix Metals</v>
      </c>
    </row>
    <row r="79" spans="1:28" s="227" customFormat="1" ht="51">
      <c r="A79" s="181"/>
      <c r="B79" s="182" t="s">
        <v>1099</v>
      </c>
      <c r="C79" s="186" t="s">
        <v>13714</v>
      </c>
      <c r="D79" s="230"/>
      <c r="E79" s="182" t="s">
        <v>1074</v>
      </c>
      <c r="F79" s="182" t="s">
        <v>777</v>
      </c>
      <c r="G79" s="182" t="s">
        <v>13177</v>
      </c>
      <c r="H79" s="183">
        <v>0</v>
      </c>
      <c r="I79" s="184" t="s">
        <v>1749</v>
      </c>
      <c r="J79" s="184" t="s">
        <v>6016</v>
      </c>
      <c r="K79" s="224"/>
      <c r="L79" s="224"/>
      <c r="M79" s="224"/>
      <c r="N79" s="224"/>
      <c r="O79" s="224"/>
      <c r="P79" s="185"/>
      <c r="Q79" s="225"/>
      <c r="R79" s="182" t="str">
        <f ca="1">IF(ISERROR($V79),"",OFFSET('Smelter Look-up'!$C$4,$V79-4,0)&amp;"")</f>
        <v>PT Timah Tbk Kundur</v>
      </c>
      <c r="S79" s="181" t="str">
        <f t="shared" ca="1" si="11"/>
        <v>ID</v>
      </c>
      <c r="T79" s="181" t="str">
        <f ca="1">IF(B79="","",IF(ISERROR(MATCH($J79,SorP!$B$1:$B$6226,0)),"",INDIRECT("'SorP'!$A$"&amp;MATCH($S79&amp;$J79,SorP!C:C,0))))</f>
        <v>ID-RI</v>
      </c>
      <c r="U79" s="201"/>
      <c r="V79" s="226">
        <f>IF(C79="",NA(),IF(OR(C79="Smelter not listed",C79="Smelter not yet identified"),MATCH($B79&amp;$D79,'Smelter Look-up'!$J:$J,0),MATCH($B79&amp;$C79,'Smelter Look-up'!$J:$J,0)))</f>
        <v>509</v>
      </c>
      <c r="X79" s="227">
        <f t="shared" si="12"/>
        <v>0</v>
      </c>
      <c r="AB79" s="228" t="str">
        <f t="shared" si="13"/>
        <v>TinPT Timah Tbk Kundur</v>
      </c>
    </row>
    <row r="80" spans="1:28" s="227" customFormat="1" ht="51">
      <c r="A80" s="181"/>
      <c r="B80" s="182" t="s">
        <v>1099</v>
      </c>
      <c r="C80" s="186" t="s">
        <v>13713</v>
      </c>
      <c r="D80" s="230"/>
      <c r="E80" s="182" t="s">
        <v>1074</v>
      </c>
      <c r="F80" s="182" t="s">
        <v>760</v>
      </c>
      <c r="G80" s="182" t="s">
        <v>13177</v>
      </c>
      <c r="H80" s="183">
        <v>0</v>
      </c>
      <c r="I80" s="184" t="s">
        <v>1751</v>
      </c>
      <c r="J80" s="184" t="s">
        <v>12799</v>
      </c>
      <c r="K80" s="224"/>
      <c r="L80" s="224"/>
      <c r="M80" s="224"/>
      <c r="N80" s="224"/>
      <c r="O80" s="224"/>
      <c r="P80" s="185"/>
      <c r="Q80" s="225"/>
      <c r="R80" s="182" t="str">
        <f ca="1">IF(ISERROR($V80),"",OFFSET('Smelter Look-up'!$C$4,$V80-4,0)&amp;"")</f>
        <v>PT Timah Tbk Mentok</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510</v>
      </c>
      <c r="X80" s="227">
        <f t="shared" si="12"/>
        <v>0</v>
      </c>
      <c r="AB80" s="228" t="str">
        <f t="shared" si="13"/>
        <v>TinPT Timah Tbk Mentok</v>
      </c>
    </row>
    <row r="81" spans="1:28" s="227" customFormat="1" ht="76.5">
      <c r="A81" s="181"/>
      <c r="B81" s="182" t="s">
        <v>1098</v>
      </c>
      <c r="C81" s="186" t="s">
        <v>2474</v>
      </c>
      <c r="D81" s="230"/>
      <c r="E81" s="182" t="s">
        <v>1064</v>
      </c>
      <c r="F81" s="182" t="s">
        <v>719</v>
      </c>
      <c r="G81" s="182" t="s">
        <v>13177</v>
      </c>
      <c r="H81" s="183">
        <v>0</v>
      </c>
      <c r="I81" s="184" t="s">
        <v>1641</v>
      </c>
      <c r="J81" s="184" t="s">
        <v>3104</v>
      </c>
      <c r="K81" s="224"/>
      <c r="L81" s="224"/>
      <c r="M81" s="224"/>
      <c r="N81" s="224"/>
      <c r="O81" s="224"/>
      <c r="P81" s="185"/>
      <c r="Q81" s="225"/>
      <c r="R81" s="182" t="str">
        <f ca="1">IF(ISERROR($V81),"",OFFSET('Smelter Look-up'!$C$4,$V81-4,0)&amp;"")</f>
        <v>Umicore S.A. Business Unit Precious Metals Refining</v>
      </c>
      <c r="S81" s="181" t="str">
        <f t="shared" ca="1" si="11"/>
        <v>BE</v>
      </c>
      <c r="T81" s="181" t="str">
        <f ca="1">IF(B81="","",IF(ISERROR(MATCH($J81,SorP!$B$1:$B$6226,0)),"",INDIRECT("'SorP'!$A$"&amp;MATCH($S81&amp;$J81,SorP!C:C,0))))</f>
        <v>BE-VAN</v>
      </c>
      <c r="U81" s="201"/>
      <c r="V81" s="226">
        <f>IF(C81="",NA(),IF(OR(C81="Smelter not listed",C81="Smelter not yet identified"),MATCH($B81&amp;$D81,'Smelter Look-up'!$J:$J,0),MATCH($B81&amp;$C81,'Smelter Look-up'!$J:$J,0)))</f>
        <v>300</v>
      </c>
      <c r="X81" s="227">
        <f t="shared" si="12"/>
        <v>0</v>
      </c>
      <c r="AB81" s="228" t="str">
        <f t="shared" si="13"/>
        <v>GoldUmicore Precious Metals Refining Hoboken</v>
      </c>
    </row>
    <row r="82" spans="1:28" s="227" customFormat="1" ht="63.75">
      <c r="A82" s="181"/>
      <c r="B82" s="182" t="s">
        <v>1098</v>
      </c>
      <c r="C82" s="186" t="s">
        <v>2257</v>
      </c>
      <c r="D82" s="230"/>
      <c r="E82" s="182" t="s">
        <v>1067</v>
      </c>
      <c r="F82" s="182" t="s">
        <v>688</v>
      </c>
      <c r="G82" s="182" t="s">
        <v>13177</v>
      </c>
      <c r="H82" s="183"/>
      <c r="I82" s="184" t="s">
        <v>1588</v>
      </c>
      <c r="J82" s="184" t="s">
        <v>1589</v>
      </c>
      <c r="K82" s="224"/>
      <c r="L82" s="224"/>
      <c r="M82" s="224"/>
      <c r="N82" s="224"/>
      <c r="O82" s="224"/>
      <c r="P82" s="185"/>
      <c r="Q82" s="225"/>
      <c r="R82" s="182" t="str">
        <f ca="1">IF(ISERROR($V82),"",OFFSET('Smelter Look-up'!$C$4,$V82-4,0)&amp;"")</f>
        <v>Metalor Technologies S.A.</v>
      </c>
      <c r="S82" s="181" t="str">
        <f t="shared" ca="1" si="11"/>
        <v>CH</v>
      </c>
      <c r="T82" s="181" t="str">
        <f ca="1">IF(B82="","",IF(ISERROR(MATCH($J82,SorP!$B$1:$B$6226,0)),"",INDIRECT("'SorP'!$A$"&amp;MATCH($S82&amp;$J82,SorP!C:C,0))))</f>
        <v>CH-NE</v>
      </c>
      <c r="U82" s="201"/>
      <c r="V82" s="226">
        <f>IF(C82="",NA(),IF(OR(C82="Smelter not listed",C82="Smelter not yet identified"),MATCH($B82&amp;$D82,'Smelter Look-up'!$J:$J,0),MATCH($B82&amp;$C82,'Smelter Look-up'!$J:$J,0)))</f>
        <v>181</v>
      </c>
      <c r="X82" s="227">
        <f t="shared" si="12"/>
        <v>0</v>
      </c>
      <c r="AB82" s="228" t="str">
        <f t="shared" si="13"/>
        <v>GoldMetalor Technologies S.A.</v>
      </c>
    </row>
    <row r="83" spans="1:28" s="227" customFormat="1" ht="102">
      <c r="A83" s="181"/>
      <c r="B83" s="182" t="s">
        <v>1098</v>
      </c>
      <c r="C83" s="186" t="s">
        <v>2283</v>
      </c>
      <c r="D83" s="230"/>
      <c r="E83" s="182" t="s">
        <v>1064</v>
      </c>
      <c r="F83" s="182" t="s">
        <v>719</v>
      </c>
      <c r="G83" s="182" t="s">
        <v>13177</v>
      </c>
      <c r="H83" s="183"/>
      <c r="I83" s="184" t="s">
        <v>1641</v>
      </c>
      <c r="J83" s="184" t="s">
        <v>3104</v>
      </c>
      <c r="K83" s="224"/>
      <c r="L83" s="224"/>
      <c r="M83" s="224"/>
      <c r="N83" s="224"/>
      <c r="O83" s="224"/>
      <c r="P83" s="185"/>
      <c r="Q83" s="225"/>
      <c r="R83" s="182" t="str">
        <f ca="1">IF(ISERROR($V83),"",OFFSET('Smelter Look-up'!$C$4,$V83-4,0)&amp;"")</f>
        <v>Umicore S.A. Business Unit Precious Metals Refining</v>
      </c>
      <c r="S83" s="181" t="str">
        <f t="shared" ca="1" si="11"/>
        <v>BE</v>
      </c>
      <c r="T83" s="181" t="str">
        <f ca="1">IF(B83="","",IF(ISERROR(MATCH($J83,SorP!$B$1:$B$6226,0)),"",INDIRECT("'SorP'!$A$"&amp;MATCH($S83&amp;$J83,SorP!C:C,0))))</f>
        <v>BE-VAN</v>
      </c>
      <c r="U83" s="201"/>
      <c r="V83" s="226">
        <f>IF(C83="",NA(),IF(OR(C83="Smelter not listed",C83="Smelter not yet identified"),MATCH($B83&amp;$D83,'Smelter Look-up'!$J:$J,0),MATCH($B83&amp;$C83,'Smelter Look-up'!$J:$J,0)))</f>
        <v>302</v>
      </c>
      <c r="X83" s="227">
        <f t="shared" si="12"/>
        <v>0</v>
      </c>
      <c r="AB83" s="228" t="str">
        <f t="shared" si="13"/>
        <v>GoldUmicore S.A. Business Unit Precious Metals Refining</v>
      </c>
    </row>
    <row r="84" spans="1:28" s="227" customFormat="1" ht="76.5">
      <c r="A84" s="181"/>
      <c r="B84" s="182" t="s">
        <v>1099</v>
      </c>
      <c r="C84" s="186" t="s">
        <v>793</v>
      </c>
      <c r="D84" s="230"/>
      <c r="E84" s="182" t="s">
        <v>1084</v>
      </c>
      <c r="F84" s="182" t="s">
        <v>752</v>
      </c>
      <c r="G84" s="182" t="s">
        <v>13177</v>
      </c>
      <c r="H84" s="183"/>
      <c r="I84" s="184" t="s">
        <v>1739</v>
      </c>
      <c r="J84" s="184" t="s">
        <v>8635</v>
      </c>
      <c r="K84" s="224"/>
      <c r="L84" s="224"/>
      <c r="M84" s="224"/>
      <c r="N84" s="224"/>
      <c r="O84" s="224"/>
      <c r="P84" s="185"/>
      <c r="Q84" s="225"/>
      <c r="R84" s="182" t="str">
        <f ca="1">IF(ISERROR($V84),"",OFFSET('Smelter Look-up'!$C$4,$V84-4,0)&amp;"")</f>
        <v>Malaysia Smelting Corporation (MSC)</v>
      </c>
      <c r="S84" s="181" t="str">
        <f t="shared" ca="1" si="11"/>
        <v>MY</v>
      </c>
      <c r="T84" s="181" t="str">
        <f ca="1">IF(B84="","",IF(ISERROR(MATCH($J84,SorP!$B$1:$B$6226,0)),"",INDIRECT("'SorP'!$A$"&amp;MATCH($S84&amp;$J84,SorP!C:C,0))))</f>
        <v>MY-07</v>
      </c>
      <c r="U84" s="201"/>
      <c r="V84" s="226">
        <f>IF(C84="",NA(),IF(OR(C84="Smelter not listed",C84="Smelter not yet identified"),MATCH($B84&amp;$D84,'Smelter Look-up'!$J:$J,0),MATCH($B84&amp;$C84,'Smelter Look-up'!$J:$J,0)))</f>
        <v>468</v>
      </c>
      <c r="X84" s="227">
        <f t="shared" si="12"/>
        <v>0</v>
      </c>
      <c r="AB84" s="228" t="str">
        <f t="shared" si="13"/>
        <v>TinMalaysia Smelting Corporation (MSC)</v>
      </c>
    </row>
    <row r="85" spans="1:28" s="227" customFormat="1" ht="25.5">
      <c r="A85" s="181" t="s">
        <v>754</v>
      </c>
      <c r="B85" s="182" t="s">
        <v>1099</v>
      </c>
      <c r="C85" s="186" t="s">
        <v>1003</v>
      </c>
      <c r="D85" s="230"/>
      <c r="E85" s="182" t="s">
        <v>851</v>
      </c>
      <c r="F85" s="182" t="s">
        <v>754</v>
      </c>
      <c r="G85" s="182" t="s">
        <v>13177</v>
      </c>
      <c r="H85" s="183">
        <v>0</v>
      </c>
      <c r="I85" s="184" t="s">
        <v>1743</v>
      </c>
      <c r="J85" s="184" t="s">
        <v>9062</v>
      </c>
      <c r="K85" s="224"/>
      <c r="L85" s="224"/>
      <c r="M85" s="224"/>
      <c r="N85" s="224"/>
      <c r="O85" s="224"/>
      <c r="P85" s="185"/>
      <c r="Q85" s="225"/>
      <c r="R85" s="182" t="str">
        <f ca="1">IF(ISERROR($V85),"",OFFSET('Smelter Look-up'!$C$4,$V85-4,0)&amp;"")</f>
        <v>Minsur</v>
      </c>
      <c r="S85" s="181" t="str">
        <f t="shared" ca="1" si="11"/>
        <v>PE</v>
      </c>
      <c r="T85" s="181" t="str">
        <f ca="1">IF(B85="","",IF(ISERROR(MATCH($J85,SorP!$B$1:$B$6226,0)),"",INDIRECT("'SorP'!$A$"&amp;MATCH($S85&amp;$J85,SorP!C:C,0))))</f>
        <v>PE-ICA</v>
      </c>
      <c r="U85" s="201"/>
      <c r="V85" s="226">
        <f>IF(C85="",NA(),IF(OR(C85="Smelter not listed",C85="Smelter not yet identified"),MATCH($B85&amp;$D85,'Smelter Look-up'!$J:$J,0),MATCH($B85&amp;$C85,'Smelter Look-up'!$J:$J,0)))</f>
        <v>481</v>
      </c>
      <c r="X85" s="227">
        <f t="shared" si="12"/>
        <v>0</v>
      </c>
      <c r="AB85" s="228" t="str">
        <f t="shared" si="13"/>
        <v>TinMinsur</v>
      </c>
    </row>
    <row r="86" spans="1:28" s="227" customFormat="1" ht="63.75">
      <c r="A86" s="181" t="s">
        <v>758</v>
      </c>
      <c r="B86" s="182" t="s">
        <v>1099</v>
      </c>
      <c r="C86" s="186" t="s">
        <v>13715</v>
      </c>
      <c r="D86" s="230"/>
      <c r="E86" s="182" t="s">
        <v>2382</v>
      </c>
      <c r="F86" s="182" t="s">
        <v>758</v>
      </c>
      <c r="G86" s="182" t="s">
        <v>13177</v>
      </c>
      <c r="H86" s="183">
        <v>0</v>
      </c>
      <c r="I86" s="184" t="s">
        <v>1728</v>
      </c>
      <c r="J86" s="184" t="s">
        <v>1728</v>
      </c>
      <c r="K86" s="224"/>
      <c r="L86" s="224"/>
      <c r="M86" s="224"/>
      <c r="N86" s="224"/>
      <c r="O86" s="224"/>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IF(C86="",NA(),IF(OR(C86="Smelter not listed",C86="Smelter not yet identified"),MATCH($B86&amp;$D86,'Smelter Look-up'!$J:$J,0),MATCH($B86&amp;$C86,'Smelter Look-up'!$J:$J,0)))</f>
        <v>493</v>
      </c>
      <c r="X86" s="227">
        <f t="shared" si="12"/>
        <v>0</v>
      </c>
      <c r="AB86" s="228" t="str">
        <f t="shared" si="13"/>
        <v>TinOperaciones Metalurgicas S.A.</v>
      </c>
    </row>
    <row r="87" spans="1:28" s="227" customFormat="1" ht="76.5">
      <c r="A87" s="181" t="s">
        <v>764</v>
      </c>
      <c r="B87" s="182" t="s">
        <v>1099</v>
      </c>
      <c r="C87" s="186" t="s">
        <v>2484</v>
      </c>
      <c r="D87" s="230"/>
      <c r="E87" s="182" t="s">
        <v>1065</v>
      </c>
      <c r="F87" s="182" t="s">
        <v>764</v>
      </c>
      <c r="G87" s="182" t="s">
        <v>13177</v>
      </c>
      <c r="H87" s="183">
        <v>0</v>
      </c>
      <c r="I87" s="184" t="s">
        <v>1725</v>
      </c>
      <c r="J87" s="184" t="s">
        <v>1729</v>
      </c>
      <c r="K87" s="224"/>
      <c r="L87" s="224"/>
      <c r="M87" s="224"/>
      <c r="N87" s="224"/>
      <c r="O87" s="224"/>
      <c r="P87" s="185"/>
      <c r="Q87" s="225"/>
      <c r="R87" s="182" t="str">
        <f ca="1">IF(ISERROR($V87),"",OFFSET('Smelter Look-up'!$C$4,$V87-4,0)&amp;"")</f>
        <v>White Solder Metalurgia e Mineracao Ltda.</v>
      </c>
      <c r="S87" s="181" t="str">
        <f t="shared" ca="1" si="11"/>
        <v>BR</v>
      </c>
      <c r="T87" s="181" t="str">
        <f ca="1">IF(B87="","",IF(ISERROR(MATCH($J87,SorP!$B$1:$B$6226,0)),"",INDIRECT("'SorP'!$A$"&amp;MATCH($S87&amp;$J87,SorP!C:C,0))))</f>
        <v>BR-RO</v>
      </c>
      <c r="U87" s="201"/>
      <c r="V87" s="226">
        <f>IF(C87="",NA(),IF(OR(C87="Smelter not listed",C87="Smelter not yet identified"),MATCH($B87&amp;$D87,'Smelter Look-up'!$J:$J,0),MATCH($B87&amp;$C87,'Smelter Look-up'!$J:$J,0)))</f>
        <v>530</v>
      </c>
      <c r="X87" s="227">
        <f t="shared" si="12"/>
        <v>0</v>
      </c>
      <c r="AB87" s="228" t="str">
        <f t="shared" si="13"/>
        <v>TinWhite Solder Metalurgia e Mineracao Ltda.</v>
      </c>
    </row>
    <row r="88" spans="1:28" s="227" customFormat="1" ht="51">
      <c r="A88" s="181" t="s">
        <v>15714</v>
      </c>
      <c r="B88" s="182" t="s">
        <v>1099</v>
      </c>
      <c r="C88" s="186" t="s">
        <v>15713</v>
      </c>
      <c r="D88" s="230"/>
      <c r="E88" s="182" t="s">
        <v>1074</v>
      </c>
      <c r="F88" s="182" t="s">
        <v>15714</v>
      </c>
      <c r="G88" s="182" t="s">
        <v>13177</v>
      </c>
      <c r="H88" s="183">
        <v>0</v>
      </c>
      <c r="I88" s="184" t="s">
        <v>14986</v>
      </c>
      <c r="J88" s="184" t="s">
        <v>12799</v>
      </c>
      <c r="K88" s="224"/>
      <c r="L88" s="224"/>
      <c r="M88" s="224"/>
      <c r="N88" s="224"/>
      <c r="O88" s="224"/>
      <c r="P88" s="185"/>
      <c r="Q88" s="225"/>
      <c r="R88" s="182" t="str">
        <f ca="1">IF(ISERROR($V88),"",OFFSET('Smelter Look-up'!$C$4,$V88-4,0)&amp;"")</f>
        <v>PT Prima Timah Utama</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505</v>
      </c>
      <c r="X88" s="227">
        <f t="shared" si="12"/>
        <v>0</v>
      </c>
      <c r="AB88" s="228" t="str">
        <f t="shared" si="13"/>
        <v>TinPT Prima Timah Utama</v>
      </c>
    </row>
    <row r="89" spans="1:28" s="227" customFormat="1" ht="51">
      <c r="A89" s="181" t="s">
        <v>753</v>
      </c>
      <c r="B89" s="182" t="s">
        <v>1099</v>
      </c>
      <c r="C89" s="186" t="s">
        <v>12377</v>
      </c>
      <c r="D89" s="230"/>
      <c r="E89" s="182" t="s">
        <v>1065</v>
      </c>
      <c r="F89" s="182" t="s">
        <v>753</v>
      </c>
      <c r="G89" s="182" t="s">
        <v>13177</v>
      </c>
      <c r="H89" s="183">
        <v>0</v>
      </c>
      <c r="I89" s="184" t="s">
        <v>15838</v>
      </c>
      <c r="J89" s="184" t="s">
        <v>1640</v>
      </c>
      <c r="K89" s="224"/>
      <c r="L89" s="224"/>
      <c r="M89" s="224"/>
      <c r="N89" s="224"/>
      <c r="O89" s="224"/>
      <c r="P89" s="185"/>
      <c r="Q89" s="225"/>
      <c r="R89" s="182" t="str">
        <f ca="1">IF(ISERROR($V89),"",OFFSET('Smelter Look-up'!$C$4,$V89-4,0)&amp;"")</f>
        <v>Mineracao Taboca S.A.</v>
      </c>
      <c r="S89" s="181" t="str">
        <f t="shared" ca="1" si="11"/>
        <v>BR</v>
      </c>
      <c r="T89" s="181" t="str">
        <f ca="1">IF(B89="","",IF(ISERROR(MATCH($J89,SorP!$B$1:$B$6226,0)),"",INDIRECT("'SorP'!$A$"&amp;MATCH($S89&amp;$J89,SorP!C:C,0))))</f>
        <v>BR-SP</v>
      </c>
      <c r="U89" s="201"/>
      <c r="V89" s="226">
        <f>IF(C89="",NA(),IF(OR(C89="Smelter not listed",C89="Smelter not yet identified"),MATCH($B89&amp;$D89,'Smelter Look-up'!$J:$J,0),MATCH($B89&amp;$C89,'Smelter Look-up'!$J:$J,0)))</f>
        <v>476</v>
      </c>
      <c r="X89" s="227">
        <f t="shared" si="12"/>
        <v>0</v>
      </c>
      <c r="AB89" s="228" t="str">
        <f t="shared" si="13"/>
        <v>TinMineracao Taboca S.A.</v>
      </c>
    </row>
    <row r="90" spans="1:28" s="227" customFormat="1" ht="51">
      <c r="A90" s="181" t="s">
        <v>15835</v>
      </c>
      <c r="B90" s="182" t="s">
        <v>1099</v>
      </c>
      <c r="C90" s="186" t="s">
        <v>15836</v>
      </c>
      <c r="D90" s="230"/>
      <c r="E90" s="182" t="s">
        <v>1074</v>
      </c>
      <c r="F90" s="182" t="s">
        <v>15835</v>
      </c>
      <c r="G90" s="182" t="s">
        <v>13177</v>
      </c>
      <c r="H90" s="183">
        <v>0</v>
      </c>
      <c r="I90" s="184" t="s">
        <v>1726</v>
      </c>
      <c r="J90" s="184" t="s">
        <v>12799</v>
      </c>
      <c r="K90" s="224"/>
      <c r="L90" s="224"/>
      <c r="M90" s="224"/>
      <c r="N90" s="224"/>
      <c r="O90" s="224"/>
      <c r="P90" s="185"/>
      <c r="Q90" s="225"/>
      <c r="R90" s="182" t="str">
        <f ca="1">IF(ISERROR($V90),"",OFFSET('Smelter Look-up'!$C$4,$V90-4,0)&amp;"")</f>
        <v/>
      </c>
      <c r="S90" s="181" t="str">
        <f t="shared" ca="1" si="11"/>
        <v>ID</v>
      </c>
      <c r="T90" s="181" t="str">
        <f ca="1">IF(B90="","",IF(ISERROR(MATCH($J90,SorP!$B$1:$B$6226,0)),"",INDIRECT("'SorP'!$A$"&amp;MATCH($S90&amp;$J90,SorP!C:C,0))))</f>
        <v>ID-BB</v>
      </c>
      <c r="U90" s="201"/>
      <c r="V90" s="226" t="e">
        <f>IF(C90="",NA(),IF(OR(C90="Smelter not listed",C90="Smelter not yet identified"),MATCH($B90&amp;$D90,'Smelter Look-up'!$J:$J,0),MATCH($B90&amp;$C90,'Smelter Look-up'!$J:$J,0)))</f>
        <v>#N/A</v>
      </c>
      <c r="X90" s="227">
        <f t="shared" si="12"/>
        <v>0</v>
      </c>
      <c r="AB90" s="228" t="str">
        <f t="shared" si="13"/>
        <v>TinPT Refined Bangka Tin</v>
      </c>
    </row>
    <row r="91" spans="1:28" s="227" customFormat="1" ht="25.5">
      <c r="A91" s="181" t="s">
        <v>763</v>
      </c>
      <c r="B91" s="182" t="s">
        <v>1099</v>
      </c>
      <c r="C91" s="186" t="s">
        <v>1000</v>
      </c>
      <c r="D91" s="230"/>
      <c r="E91" s="182" t="s">
        <v>859</v>
      </c>
      <c r="F91" s="182" t="s">
        <v>763</v>
      </c>
      <c r="G91" s="182" t="s">
        <v>13177</v>
      </c>
      <c r="H91" s="183">
        <v>0</v>
      </c>
      <c r="I91" s="184" t="s">
        <v>1752</v>
      </c>
      <c r="J91" s="184" t="s">
        <v>1753</v>
      </c>
      <c r="K91" s="224"/>
      <c r="L91" s="224"/>
      <c r="M91" s="224"/>
      <c r="N91" s="224"/>
      <c r="O91" s="224"/>
      <c r="P91" s="185"/>
      <c r="Q91" s="225"/>
      <c r="R91" s="182" t="str">
        <f ca="1">IF(ISERROR($V91),"",OFFSET('Smelter Look-up'!$C$4,$V91-4,0)&amp;"")</f>
        <v>Thaisarco</v>
      </c>
      <c r="S91" s="181" t="str">
        <f t="shared" ca="1" si="11"/>
        <v>TH</v>
      </c>
      <c r="T91" s="181" t="str">
        <f ca="1">IF(B91="","",IF(ISERROR(MATCH($J91,SorP!$B$1:$B$6226,0)),"",INDIRECT("'SorP'!$A$"&amp;MATCH($S91&amp;$J91,SorP!C:C,0))))</f>
        <v>TH-83</v>
      </c>
      <c r="U91" s="201"/>
      <c r="V91" s="226">
        <f>IF(C91="",NA(),IF(OR(C91="Smelter not listed",C91="Smelter not yet identified"),MATCH($B91&amp;$D91,'Smelter Look-up'!$J:$J,0),MATCH($B91&amp;$C91,'Smelter Look-up'!$J:$J,0)))</f>
        <v>521</v>
      </c>
      <c r="X91" s="227">
        <f t="shared" si="12"/>
        <v>0</v>
      </c>
      <c r="AB91" s="228" t="str">
        <f t="shared" si="13"/>
        <v>TinThaisarco</v>
      </c>
    </row>
    <row r="92" spans="1:28" s="227" customFormat="1" ht="25.5">
      <c r="A92" s="181" t="s">
        <v>747</v>
      </c>
      <c r="B92" s="182" t="s">
        <v>1099</v>
      </c>
      <c r="C92" s="186" t="s">
        <v>788</v>
      </c>
      <c r="D92" s="230"/>
      <c r="E92" s="182" t="s">
        <v>853</v>
      </c>
      <c r="F92" s="182" t="s">
        <v>747</v>
      </c>
      <c r="G92" s="182" t="s">
        <v>13177</v>
      </c>
      <c r="H92" s="183">
        <v>0</v>
      </c>
      <c r="I92" s="184" t="s">
        <v>1730</v>
      </c>
      <c r="J92" s="184" t="s">
        <v>9448</v>
      </c>
      <c r="K92" s="224"/>
      <c r="L92" s="224"/>
      <c r="M92" s="224"/>
      <c r="N92" s="224"/>
      <c r="O92" s="224"/>
      <c r="P92" s="185"/>
      <c r="Q92" s="225"/>
      <c r="R92" s="182" t="str">
        <f ca="1">IF(ISERROR($V92),"",OFFSET('Smelter Look-up'!$C$4,$V92-4,0)&amp;"")</f>
        <v>Fenix Metals</v>
      </c>
      <c r="S92" s="181" t="str">
        <f t="shared" ca="1" si="11"/>
        <v>PL</v>
      </c>
      <c r="T92" s="181" t="str">
        <f ca="1">IF(B92="","",IF(ISERROR(MATCH($J92,SorP!$B$1:$B$6226,0)),"",INDIRECT("'SorP'!$A$"&amp;MATCH($S92&amp;$J92,SorP!C:C,0))))</f>
        <v>PL-18</v>
      </c>
      <c r="U92" s="201"/>
      <c r="V92" s="226">
        <f>IF(C92="",NA(),IF(OR(C92="Smelter not listed",C92="Smelter not yet identified"),MATCH($B92&amp;$D92,'Smelter Look-up'!$J:$J,0),MATCH($B92&amp;$C92,'Smelter Look-up'!$J:$J,0)))</f>
        <v>437</v>
      </c>
      <c r="X92" s="227">
        <f t="shared" si="12"/>
        <v>0</v>
      </c>
      <c r="AB92" s="228" t="str">
        <f t="shared" si="13"/>
        <v>TinFenix Metals</v>
      </c>
    </row>
    <row r="93" spans="1:28" s="227" customFormat="1" ht="51">
      <c r="A93" s="181" t="s">
        <v>777</v>
      </c>
      <c r="B93" s="182" t="s">
        <v>1099</v>
      </c>
      <c r="C93" s="186" t="s">
        <v>13714</v>
      </c>
      <c r="D93" s="230"/>
      <c r="E93" s="182" t="s">
        <v>1074</v>
      </c>
      <c r="F93" s="182" t="s">
        <v>777</v>
      </c>
      <c r="G93" s="182" t="s">
        <v>13177</v>
      </c>
      <c r="H93" s="183">
        <v>0</v>
      </c>
      <c r="I93" s="184" t="s">
        <v>1749</v>
      </c>
      <c r="J93" s="184" t="s">
        <v>6016</v>
      </c>
      <c r="K93" s="224"/>
      <c r="L93" s="224"/>
      <c r="M93" s="224"/>
      <c r="N93" s="224"/>
      <c r="O93" s="224"/>
      <c r="P93" s="185"/>
      <c r="Q93" s="225"/>
      <c r="R93" s="182" t="str">
        <f ca="1">IF(ISERROR($V93),"",OFFSET('Smelter Look-up'!$C$4,$V93-4,0)&amp;"")</f>
        <v>PT Timah Tbk Kundur</v>
      </c>
      <c r="S93" s="181" t="str">
        <f t="shared" ca="1" si="11"/>
        <v>ID</v>
      </c>
      <c r="T93" s="181" t="str">
        <f ca="1">IF(B93="","",IF(ISERROR(MATCH($J93,SorP!$B$1:$B$6226,0)),"",INDIRECT("'SorP'!$A$"&amp;MATCH($S93&amp;$J93,SorP!C:C,0))))</f>
        <v>ID-RI</v>
      </c>
      <c r="U93" s="201"/>
      <c r="V93" s="226">
        <f>IF(C93="",NA(),IF(OR(C93="Smelter not listed",C93="Smelter not yet identified"),MATCH($B93&amp;$D93,'Smelter Look-up'!$J:$J,0),MATCH($B93&amp;$C93,'Smelter Look-up'!$J:$J,0)))</f>
        <v>509</v>
      </c>
      <c r="X93" s="227">
        <f t="shared" si="12"/>
        <v>0</v>
      </c>
      <c r="AB93" s="228" t="str">
        <f t="shared" si="13"/>
        <v>TinPT Timah Tbk Kundur</v>
      </c>
    </row>
    <row r="94" spans="1:28" s="227" customFormat="1" ht="51">
      <c r="A94" s="181" t="s">
        <v>760</v>
      </c>
      <c r="B94" s="182" t="s">
        <v>1099</v>
      </c>
      <c r="C94" s="186" t="s">
        <v>13713</v>
      </c>
      <c r="D94" s="230"/>
      <c r="E94" s="182" t="s">
        <v>1074</v>
      </c>
      <c r="F94" s="182" t="s">
        <v>760</v>
      </c>
      <c r="G94" s="182" t="s">
        <v>13177</v>
      </c>
      <c r="H94" s="183">
        <v>0</v>
      </c>
      <c r="I94" s="184" t="s">
        <v>1751</v>
      </c>
      <c r="J94" s="184" t="s">
        <v>12799</v>
      </c>
      <c r="K94" s="224"/>
      <c r="L94" s="224"/>
      <c r="M94" s="224"/>
      <c r="N94" s="224"/>
      <c r="O94" s="224"/>
      <c r="P94" s="185"/>
      <c r="Q94" s="225"/>
      <c r="R94" s="182" t="str">
        <f ca="1">IF(ISERROR($V94),"",OFFSET('Smelter Look-up'!$C$4,$V94-4,0)&amp;"")</f>
        <v>PT Timah Tbk Mentok</v>
      </c>
      <c r="S94" s="181" t="str">
        <f t="shared" ca="1" si="11"/>
        <v>ID</v>
      </c>
      <c r="T94" s="181" t="str">
        <f ca="1">IF(B94="","",IF(ISERROR(MATCH($J94,SorP!$B$1:$B$6226,0)),"",INDIRECT("'SorP'!$A$"&amp;MATCH($S94&amp;$J94,SorP!C:C,0))))</f>
        <v>ID-BB</v>
      </c>
      <c r="U94" s="201"/>
      <c r="V94" s="226">
        <f>IF(C94="",NA(),IF(OR(C94="Smelter not listed",C94="Smelter not yet identified"),MATCH($B94&amp;$D94,'Smelter Look-up'!$J:$J,0),MATCH($B94&amp;$C94,'Smelter Look-up'!$J:$J,0)))</f>
        <v>510</v>
      </c>
      <c r="X94" s="227">
        <f t="shared" si="12"/>
        <v>0</v>
      </c>
      <c r="AB94" s="228" t="str">
        <f t="shared" si="13"/>
        <v>TinPT Timah Tbk Mentok</v>
      </c>
    </row>
    <row r="95" spans="1:28" s="227" customFormat="1" ht="102">
      <c r="A95" s="181" t="s">
        <v>2230</v>
      </c>
      <c r="B95" s="182" t="s">
        <v>1099</v>
      </c>
      <c r="C95" s="186" t="s">
        <v>2287</v>
      </c>
      <c r="D95" s="230"/>
      <c r="E95" s="182" t="s">
        <v>1069</v>
      </c>
      <c r="F95" s="182" t="s">
        <v>2230</v>
      </c>
      <c r="G95" s="182" t="s">
        <v>13177</v>
      </c>
      <c r="H95" s="183">
        <v>0</v>
      </c>
      <c r="I95" s="184" t="s">
        <v>1733</v>
      </c>
      <c r="J95" s="184" t="s">
        <v>13535</v>
      </c>
      <c r="K95" s="224"/>
      <c r="L95" s="224"/>
      <c r="M95" s="224"/>
      <c r="N95" s="224"/>
      <c r="O95" s="224"/>
      <c r="P95" s="185"/>
      <c r="Q95" s="225"/>
      <c r="R95" s="182" t="str">
        <f ca="1">IF(ISERROR($V95),"",OFFSET('Smelter Look-up'!$C$4,$V95-4,0)&amp;"")</f>
        <v>Chenzhou Yunxiang Mining and Metallurgy Co., Ltd.</v>
      </c>
      <c r="S95" s="181" t="str">
        <f t="shared" ca="1" si="11"/>
        <v>CN</v>
      </c>
      <c r="T95" s="181" t="str">
        <f ca="1">IF(B95="","",IF(ISERROR(MATCH($J95,SorP!$B$1:$B$6226,0)),"",INDIRECT("'SorP'!$A$"&amp;MATCH($S95&amp;$J95,SorP!C:C,0))))</f>
        <v>CN-HN</v>
      </c>
      <c r="U95" s="201"/>
      <c r="V95" s="226">
        <f>IF(C95="",NA(),IF(OR(C95="Smelter not listed",C95="Smelter not yet identified"),MATCH($B95&amp;$D95,'Smelter Look-up'!$J:$J,0),MATCH($B95&amp;$C95,'Smelter Look-up'!$J:$J,0)))</f>
        <v>408</v>
      </c>
      <c r="X95" s="227">
        <f t="shared" si="12"/>
        <v>0</v>
      </c>
      <c r="AB95" s="228" t="str">
        <f t="shared" si="13"/>
        <v>TinChenzhou Yunxiang Mining and Metallurgy Co., Ltd.</v>
      </c>
    </row>
    <row r="96" spans="1:28" s="227" customFormat="1" ht="63.75">
      <c r="A96" s="181" t="s">
        <v>15868</v>
      </c>
      <c r="B96" s="182" t="s">
        <v>1099</v>
      </c>
      <c r="C96" s="186" t="s">
        <v>15869</v>
      </c>
      <c r="D96" s="230"/>
      <c r="E96" s="182" t="s">
        <v>1074</v>
      </c>
      <c r="F96" s="182" t="s">
        <v>15868</v>
      </c>
      <c r="G96" s="182" t="s">
        <v>13177</v>
      </c>
      <c r="H96" s="183">
        <v>0</v>
      </c>
      <c r="I96" s="184" t="s">
        <v>15870</v>
      </c>
      <c r="J96" s="184" t="s">
        <v>12799</v>
      </c>
      <c r="K96" s="224"/>
      <c r="L96" s="224"/>
      <c r="M96" s="224"/>
      <c r="N96" s="224"/>
      <c r="O96" s="224"/>
      <c r="P96" s="185"/>
      <c r="Q96" s="225"/>
      <c r="R96" s="182" t="str">
        <f ca="1">IF(ISERROR($V96),"",OFFSET('Smelter Look-up'!$C$4,$V96-4,0)&amp;"")</f>
        <v/>
      </c>
      <c r="S96" s="181" t="str">
        <f t="shared" ca="1" si="11"/>
        <v>ID</v>
      </c>
      <c r="T96" s="181" t="str">
        <f ca="1">IF(B96="","",IF(ISERROR(MATCH($J96,SorP!$B$1:$B$6226,0)),"",INDIRECT("'SorP'!$A$"&amp;MATCH($S96&amp;$J96,SorP!C:C,0))))</f>
        <v>ID-BB</v>
      </c>
      <c r="U96" s="201"/>
      <c r="V96" s="226" t="e">
        <f>IF(C96="",NA(),IF(OR(C96="Smelter not listed",C96="Smelter not yet identified"),MATCH($B96&amp;$D96,'Smelter Look-up'!$J:$J,0),MATCH($B96&amp;$C96,'Smelter Look-up'!$J:$J,0)))</f>
        <v>#N/A</v>
      </c>
      <c r="X96" s="227">
        <f t="shared" si="12"/>
        <v>0</v>
      </c>
      <c r="AB96" s="228" t="str">
        <f t="shared" si="13"/>
        <v>TinPT Aries Kencana Sejahtera</v>
      </c>
    </row>
    <row r="97" spans="1:28" s="227" customFormat="1" ht="38.25">
      <c r="A97" s="181" t="s">
        <v>745</v>
      </c>
      <c r="B97" s="182" t="s">
        <v>1099</v>
      </c>
      <c r="C97" s="186" t="s">
        <v>814</v>
      </c>
      <c r="D97" s="230"/>
      <c r="E97" s="182" t="s">
        <v>2382</v>
      </c>
      <c r="F97" s="182" t="s">
        <v>745</v>
      </c>
      <c r="G97" s="182" t="s">
        <v>13177</v>
      </c>
      <c r="H97" s="183">
        <v>0</v>
      </c>
      <c r="I97" s="184" t="s">
        <v>1728</v>
      </c>
      <c r="J97" s="184" t="s">
        <v>1728</v>
      </c>
      <c r="K97" s="224"/>
      <c r="L97" s="224"/>
      <c r="M97" s="224"/>
      <c r="N97" s="224"/>
      <c r="O97" s="224"/>
      <c r="P97" s="185"/>
      <c r="Q97" s="225"/>
      <c r="R97" s="182" t="str">
        <f ca="1">IF(ISERROR($V97),"",OFFSET('Smelter Look-up'!$C$4,$V97-4,0)&amp;"")</f>
        <v>EM Vinto</v>
      </c>
      <c r="S97" s="181" t="str">
        <f t="shared" ca="1" si="11"/>
        <v>BO</v>
      </c>
      <c r="T97" s="181" t="str">
        <f ca="1">IF(B97="","",IF(ISERROR(MATCH($J97,SorP!$B$1:$B$6226,0)),"",INDIRECT("'SorP'!$A$"&amp;MATCH($S97&amp;$J97,SorP!C:C,0))))</f>
        <v>BO-O</v>
      </c>
      <c r="U97" s="201"/>
      <c r="V97" s="226">
        <f>IF(C97="",NA(),IF(OR(C97="Smelter not listed",C97="Smelter not yet identified"),MATCH($B97&amp;$D97,'Smelter Look-up'!$J:$J,0),MATCH($B97&amp;$C97,'Smelter Look-up'!$J:$J,0)))</f>
        <v>428</v>
      </c>
      <c r="X97" s="227">
        <f t="shared" si="12"/>
        <v>0</v>
      </c>
      <c r="AB97" s="228" t="str">
        <f t="shared" si="13"/>
        <v>TinEM Vinto</v>
      </c>
    </row>
    <row r="98" spans="1:28" s="227" customFormat="1" ht="76.5">
      <c r="A98" s="181" t="s">
        <v>752</v>
      </c>
      <c r="B98" s="182" t="s">
        <v>1099</v>
      </c>
      <c r="C98" s="186" t="s">
        <v>793</v>
      </c>
      <c r="D98" s="230"/>
      <c r="E98" s="182" t="s">
        <v>1084</v>
      </c>
      <c r="F98" s="182" t="s">
        <v>752</v>
      </c>
      <c r="G98" s="182" t="s">
        <v>13177</v>
      </c>
      <c r="H98" s="183">
        <v>0</v>
      </c>
      <c r="I98" s="184" t="s">
        <v>1739</v>
      </c>
      <c r="J98" s="184" t="s">
        <v>8635</v>
      </c>
      <c r="K98" s="224"/>
      <c r="L98" s="224"/>
      <c r="M98" s="224"/>
      <c r="N98" s="224"/>
      <c r="O98" s="224"/>
      <c r="P98" s="185"/>
      <c r="Q98" s="225"/>
      <c r="R98" s="182" t="str">
        <f ca="1">IF(ISERROR($V98),"",OFFSET('Smelter Look-up'!$C$4,$V98-4,0)&amp;"")</f>
        <v>Malaysia Smelting Corporation (MSC)</v>
      </c>
      <c r="S98" s="181" t="str">
        <f t="shared" ca="1" si="11"/>
        <v>MY</v>
      </c>
      <c r="T98" s="181" t="str">
        <f ca="1">IF(B98="","",IF(ISERROR(MATCH($J98,SorP!$B$1:$B$6226,0)),"",INDIRECT("'SorP'!$A$"&amp;MATCH($S98&amp;$J98,SorP!C:C,0))))</f>
        <v>MY-07</v>
      </c>
      <c r="U98" s="201"/>
      <c r="V98" s="226">
        <f>IF(C98="",NA(),IF(OR(C98="Smelter not listed",C98="Smelter not yet identified"),MATCH($B98&amp;$D98,'Smelter Look-up'!$J:$J,0),MATCH($B98&amp;$C98,'Smelter Look-up'!$J:$J,0)))</f>
        <v>468</v>
      </c>
      <c r="X98" s="227">
        <f t="shared" si="12"/>
        <v>0</v>
      </c>
      <c r="AB98" s="228" t="str">
        <f t="shared" si="13"/>
        <v>TinMalaysia Smelting Corporation (MSC)</v>
      </c>
    </row>
    <row r="99" spans="1:28" s="227" customFormat="1" ht="63.75">
      <c r="A99" s="181" t="s">
        <v>15860</v>
      </c>
      <c r="B99" s="182" t="s">
        <v>1099</v>
      </c>
      <c r="C99" s="186" t="s">
        <v>15859</v>
      </c>
      <c r="D99" s="230"/>
      <c r="E99" s="182" t="s">
        <v>1074</v>
      </c>
      <c r="F99" s="182" t="s">
        <v>15860</v>
      </c>
      <c r="G99" s="182" t="s">
        <v>13177</v>
      </c>
      <c r="H99" s="183">
        <v>0</v>
      </c>
      <c r="I99" s="184" t="s">
        <v>1726</v>
      </c>
      <c r="J99" s="184" t="s">
        <v>12799</v>
      </c>
      <c r="K99" s="224"/>
      <c r="L99" s="224"/>
      <c r="M99" s="224"/>
      <c r="N99" s="224"/>
      <c r="O99" s="224"/>
      <c r="P99" s="185"/>
      <c r="Q99" s="225"/>
      <c r="R99" s="182" t="str">
        <f ca="1">IF(ISERROR($V99),"",OFFSET('Smelter Look-up'!$C$4,$V99-4,0)&amp;"")</f>
        <v/>
      </c>
      <c r="S99" s="181" t="str">
        <f t="shared" ca="1" si="11"/>
        <v>ID</v>
      </c>
      <c r="T99" s="181" t="str">
        <f ca="1">IF(B99="","",IF(ISERROR(MATCH($J99,SorP!$B$1:$B$6226,0)),"",INDIRECT("'SorP'!$A$"&amp;MATCH($S99&amp;$J99,SorP!C:C,0))))</f>
        <v>ID-BB</v>
      </c>
      <c r="U99" s="201"/>
      <c r="V99" s="226" t="e">
        <f>IF(C99="",NA(),IF(OR(C99="Smelter not listed",C99="Smelter not yet identified"),MATCH($B99&amp;$D99,'Smelter Look-up'!$J:$J,0),MATCH($B99&amp;$C99,'Smelter Look-up'!$J:$J,0)))</f>
        <v>#N/A</v>
      </c>
      <c r="X99" s="227">
        <f t="shared" si="12"/>
        <v>0</v>
      </c>
      <c r="AB99" s="228" t="str">
        <f t="shared" si="13"/>
        <v>TinPT Artha Cipta Langgeng</v>
      </c>
    </row>
    <row r="100" spans="1:28" s="227" customFormat="1" ht="63.75">
      <c r="A100" s="181" t="s">
        <v>15854</v>
      </c>
      <c r="B100" s="182" t="s">
        <v>1099</v>
      </c>
      <c r="C100" s="186" t="s">
        <v>15853</v>
      </c>
      <c r="D100" s="230"/>
      <c r="E100" s="182" t="s">
        <v>1074</v>
      </c>
      <c r="F100" s="182" t="s">
        <v>15854</v>
      </c>
      <c r="G100" s="182" t="s">
        <v>13177</v>
      </c>
      <c r="H100" s="183">
        <v>0</v>
      </c>
      <c r="I100" s="184" t="s">
        <v>15855</v>
      </c>
      <c r="J100" s="184" t="s">
        <v>12799</v>
      </c>
      <c r="K100" s="224"/>
      <c r="L100" s="224"/>
      <c r="M100" s="224"/>
      <c r="N100" s="224"/>
      <c r="O100" s="224"/>
      <c r="P100" s="185"/>
      <c r="Q100" s="225"/>
      <c r="R100" s="182" t="str">
        <f ca="1">IF(ISERROR($V100),"",OFFSET('Smelter Look-up'!$C$4,$V100-4,0)&amp;"")</f>
        <v/>
      </c>
      <c r="S100" s="181" t="str">
        <f t="shared" ca="1" si="11"/>
        <v>ID</v>
      </c>
      <c r="T100" s="181" t="str">
        <f ca="1">IF(B100="","",IF(ISERROR(MATCH($J100,SorP!$B$1:$B$6226,0)),"",INDIRECT("'SorP'!$A$"&amp;MATCH($S100&amp;$J100,SorP!C:C,0))))</f>
        <v>ID-BB</v>
      </c>
      <c r="U100" s="201"/>
      <c r="V100" s="226" t="e">
        <f>IF(C100="",NA(),IF(OR(C100="Smelter not listed",C100="Smelter not yet identified"),MATCH($B100&amp;$D100,'Smelter Look-up'!$J:$J,0),MATCH($B100&amp;$C100,'Smelter Look-up'!$J:$J,0)))</f>
        <v>#N/A</v>
      </c>
      <c r="X100" s="227">
        <f t="shared" si="12"/>
        <v>0</v>
      </c>
      <c r="AB100" s="228" t="str">
        <f t="shared" si="13"/>
        <v>TinPT Babel Surya Alam Lestari</v>
      </c>
    </row>
    <row r="101" spans="1:28" s="227" customFormat="1" ht="51">
      <c r="A101" s="181" t="s">
        <v>759</v>
      </c>
      <c r="B101" s="182" t="s">
        <v>1099</v>
      </c>
      <c r="C101" s="186" t="s">
        <v>610</v>
      </c>
      <c r="D101" s="230"/>
      <c r="E101" s="182" t="s">
        <v>1074</v>
      </c>
      <c r="F101" s="182" t="s">
        <v>759</v>
      </c>
      <c r="G101" s="182" t="s">
        <v>13177</v>
      </c>
      <c r="H101" s="183">
        <v>0</v>
      </c>
      <c r="I101" s="184" t="s">
        <v>1726</v>
      </c>
      <c r="J101" s="184" t="s">
        <v>12799</v>
      </c>
      <c r="K101" s="224"/>
      <c r="L101" s="224"/>
      <c r="M101" s="224"/>
      <c r="N101" s="224"/>
      <c r="O101" s="224"/>
      <c r="P101" s="185"/>
      <c r="Q101" s="225"/>
      <c r="R101" s="182" t="str">
        <f ca="1">IF(ISERROR($V101),"",OFFSET('Smelter Look-up'!$C$4,$V101-4,0)&amp;"")</f>
        <v>PT Mitra Stania Prima</v>
      </c>
      <c r="S101" s="181" t="str">
        <f t="shared" ca="1" si="11"/>
        <v>ID</v>
      </c>
      <c r="T101" s="181" t="str">
        <f ca="1">IF(B101="","",IF(ISERROR(MATCH($J101,SorP!$B$1:$B$6226,0)),"",INDIRECT("'SorP'!$A$"&amp;MATCH($S101&amp;$J101,SorP!C:C,0))))</f>
        <v>ID-BB</v>
      </c>
      <c r="U101" s="201"/>
      <c r="V101" s="226">
        <f>IF(C101="",NA(),IF(OR(C101="Smelter not listed",C101="Smelter not yet identified"),MATCH($B101&amp;$D101,'Smelter Look-up'!$J:$J,0),MATCH($B101&amp;$C101,'Smelter Look-up'!$J:$J,0)))</f>
        <v>502</v>
      </c>
      <c r="X101" s="227">
        <f t="shared" si="12"/>
        <v>0</v>
      </c>
      <c r="AB101" s="228" t="str">
        <f t="shared" si="13"/>
        <v>TinPT Mitra Stania Prima</v>
      </c>
    </row>
    <row r="102" spans="1:28" s="227" customFormat="1" ht="63.75">
      <c r="A102" s="181" t="s">
        <v>15864</v>
      </c>
      <c r="B102" s="182" t="s">
        <v>1099</v>
      </c>
      <c r="C102" s="186" t="s">
        <v>15863</v>
      </c>
      <c r="D102" s="230"/>
      <c r="E102" s="182" t="s">
        <v>1074</v>
      </c>
      <c r="F102" s="182" t="s">
        <v>15864</v>
      </c>
      <c r="G102" s="182" t="s">
        <v>13177</v>
      </c>
      <c r="H102" s="183">
        <v>0</v>
      </c>
      <c r="I102" s="184" t="s">
        <v>14986</v>
      </c>
      <c r="J102" s="184" t="s">
        <v>12799</v>
      </c>
      <c r="K102" s="224"/>
      <c r="L102" s="224"/>
      <c r="M102" s="224"/>
      <c r="N102" s="224"/>
      <c r="O102" s="224"/>
      <c r="P102" s="185"/>
      <c r="Q102" s="225"/>
      <c r="R102" s="182" t="str">
        <f ca="1">IF(ISERROR($V102),"",OFFSET('Smelter Look-up'!$C$4,$V102-4,0)&amp;"")</f>
        <v/>
      </c>
      <c r="S102" s="181" t="str">
        <f t="shared" ref="S102:S132" ca="1" si="14">IF(B102="","",IF(ISERROR(MATCH($E102,CL,0)),"Unknown",INDIRECT("'C'!$A$"&amp;MATCH($E102,CL,0)+1)))</f>
        <v>ID</v>
      </c>
      <c r="T102" s="181" t="str">
        <f ca="1">IF(B102="","",IF(ISERROR(MATCH($J102,SorP!$B$1:$B$6226,0)),"",INDIRECT("'SorP'!$A$"&amp;MATCH($S102&amp;$J102,SorP!C:C,0))))</f>
        <v>ID-BB</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TinPT Sariwiguna Binasentosa</v>
      </c>
    </row>
    <row r="103" spans="1:28" s="227" customFormat="1" ht="51">
      <c r="A103" s="181" t="s">
        <v>15862</v>
      </c>
      <c r="B103" s="182" t="s">
        <v>1099</v>
      </c>
      <c r="C103" s="186" t="s">
        <v>15861</v>
      </c>
      <c r="D103" s="230"/>
      <c r="E103" s="182" t="s">
        <v>1074</v>
      </c>
      <c r="F103" s="182" t="s">
        <v>15862</v>
      </c>
      <c r="G103" s="182" t="s">
        <v>13177</v>
      </c>
      <c r="H103" s="183">
        <v>0</v>
      </c>
      <c r="I103" s="184" t="s">
        <v>14986</v>
      </c>
      <c r="J103" s="184" t="s">
        <v>12799</v>
      </c>
      <c r="K103" s="224"/>
      <c r="L103" s="224"/>
      <c r="M103" s="224"/>
      <c r="N103" s="224"/>
      <c r="O103" s="224"/>
      <c r="P103" s="185"/>
      <c r="Q103" s="225"/>
      <c r="R103" s="182" t="str">
        <f ca="1">IF(ISERROR($V103),"",OFFSET('Smelter Look-up'!$C$4,$V103-4,0)&amp;"")</f>
        <v/>
      </c>
      <c r="S103" s="181" t="str">
        <f t="shared" ca="1" si="14"/>
        <v>ID</v>
      </c>
      <c r="T103" s="181" t="str">
        <f ca="1">IF(B103="","",IF(ISERROR(MATCH($J103,SorP!$B$1:$B$6226,0)),"",INDIRECT("'SorP'!$A$"&amp;MATCH($S103&amp;$J103,SorP!C:C,0))))</f>
        <v>ID-BB</v>
      </c>
      <c r="U103" s="201"/>
      <c r="V103" s="226" t="e">
        <f>IF(C103="",NA(),IF(OR(C103="Smelter not listed",C103="Smelter not yet identified"),MATCH($B103&amp;$D103,'Smelter Look-up'!$J:$J,0),MATCH($B103&amp;$C103,'Smelter Look-up'!$J:$J,0)))</f>
        <v>#N/A</v>
      </c>
      <c r="X103" s="227">
        <f t="shared" si="15"/>
        <v>0</v>
      </c>
      <c r="AB103" s="228" t="str">
        <f t="shared" si="16"/>
        <v>TinPT Stanindo Inti Perkasa</v>
      </c>
    </row>
    <row r="104" spans="1:28" s="227" customFormat="1" ht="63.75">
      <c r="A104" s="181" t="s">
        <v>1368</v>
      </c>
      <c r="B104" s="182" t="s">
        <v>1099</v>
      </c>
      <c r="C104" s="186" t="s">
        <v>1367</v>
      </c>
      <c r="D104" s="230"/>
      <c r="E104" s="182" t="s">
        <v>1074</v>
      </c>
      <c r="F104" s="182" t="s">
        <v>1368</v>
      </c>
      <c r="G104" s="182" t="s">
        <v>13177</v>
      </c>
      <c r="H104" s="183">
        <v>0</v>
      </c>
      <c r="I104" s="184" t="s">
        <v>1726</v>
      </c>
      <c r="J104" s="184" t="s">
        <v>12799</v>
      </c>
      <c r="K104" s="224"/>
      <c r="L104" s="224"/>
      <c r="M104" s="224"/>
      <c r="N104" s="224"/>
      <c r="O104" s="224"/>
      <c r="P104" s="185"/>
      <c r="Q104" s="225"/>
      <c r="R104" s="182" t="str">
        <f ca="1">IF(ISERROR($V104),"",OFFSET('Smelter Look-up'!$C$4,$V104-4,0)&amp;"")</f>
        <v>PT ATD Makmur Mandiri Jaya</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499</v>
      </c>
      <c r="X104" s="227">
        <f t="shared" si="15"/>
        <v>0</v>
      </c>
      <c r="AB104" s="228" t="str">
        <f t="shared" si="16"/>
        <v>TinPT ATD Makmur Mandiri Jaya</v>
      </c>
    </row>
    <row r="105" spans="1:28" s="227" customFormat="1" ht="38.25">
      <c r="A105" s="181" t="s">
        <v>1772</v>
      </c>
      <c r="B105" s="182" t="s">
        <v>1099</v>
      </c>
      <c r="C105" s="186" t="s">
        <v>15341</v>
      </c>
      <c r="D105" s="230"/>
      <c r="E105" s="182" t="s">
        <v>1064</v>
      </c>
      <c r="F105" s="182" t="s">
        <v>1772</v>
      </c>
      <c r="G105" s="182" t="s">
        <v>13177</v>
      </c>
      <c r="H105" s="183">
        <v>0</v>
      </c>
      <c r="I105" s="184" t="s">
        <v>1773</v>
      </c>
      <c r="J105" s="184" t="s">
        <v>3104</v>
      </c>
      <c r="K105" s="224"/>
      <c r="L105" s="224"/>
      <c r="M105" s="224"/>
      <c r="N105" s="224"/>
      <c r="O105" s="224"/>
      <c r="P105" s="185"/>
      <c r="Q105" s="225"/>
      <c r="R105" s="182" t="str">
        <f ca="1">IF(ISERROR($V105),"",OFFSET('Smelter Look-up'!$C$4,$V105-4,0)&amp;"")</f>
        <v>Aurubis Beerse</v>
      </c>
      <c r="S105" s="181" t="str">
        <f t="shared" ca="1" si="14"/>
        <v>BE</v>
      </c>
      <c r="T105" s="181" t="str">
        <f ca="1">IF(B105="","",IF(ISERROR(MATCH($J105,SorP!$B$1:$B$6226,0)),"",INDIRECT("'SorP'!$A$"&amp;MATCH($S105&amp;$J105,SorP!C:C,0))))</f>
        <v>BE-VAN</v>
      </c>
      <c r="U105" s="201"/>
      <c r="V105" s="226">
        <f>IF(C105="",NA(),IF(OR(C105="Smelter not listed",C105="Smelter not yet identified"),MATCH($B105&amp;$D105,'Smelter Look-up'!$J:$J,0),MATCH($B105&amp;$C105,'Smelter Look-up'!$J:$J,0)))</f>
        <v>404</v>
      </c>
      <c r="X105" s="227">
        <f t="shared" si="15"/>
        <v>0</v>
      </c>
      <c r="AB105" s="228" t="str">
        <f t="shared" si="16"/>
        <v>TinAurubis Beerse</v>
      </c>
    </row>
    <row r="106" spans="1:28" s="227" customFormat="1" ht="51">
      <c r="A106" s="181" t="s">
        <v>15866</v>
      </c>
      <c r="B106" s="182" t="s">
        <v>1099</v>
      </c>
      <c r="C106" s="186" t="s">
        <v>15865</v>
      </c>
      <c r="D106" s="230"/>
      <c r="E106" s="182" t="s">
        <v>1074</v>
      </c>
      <c r="F106" s="182" t="s">
        <v>15866</v>
      </c>
      <c r="G106" s="182" t="s">
        <v>13177</v>
      </c>
      <c r="H106" s="183">
        <v>0</v>
      </c>
      <c r="I106" s="184" t="s">
        <v>15867</v>
      </c>
      <c r="J106" s="184" t="s">
        <v>12799</v>
      </c>
      <c r="K106" s="224"/>
      <c r="L106" s="224"/>
      <c r="M106" s="224"/>
      <c r="N106" s="224"/>
      <c r="O106" s="224"/>
      <c r="P106" s="185"/>
      <c r="Q106" s="225"/>
      <c r="R106" s="182" t="str">
        <f ca="1">IF(ISERROR($V106),"",OFFSET('Smelter Look-up'!$C$4,$V106-4,0)&amp;"")</f>
        <v/>
      </c>
      <c r="S106" s="181" t="str">
        <f t="shared" ca="1" si="14"/>
        <v>ID</v>
      </c>
      <c r="T106" s="181" t="str">
        <f ca="1">IF(B106="","",IF(ISERROR(MATCH($J106,SorP!$B$1:$B$6226,0)),"",INDIRECT("'SorP'!$A$"&amp;MATCH($S106&amp;$J106,SorP!C:C,0))))</f>
        <v>ID-BB</v>
      </c>
      <c r="U106" s="201"/>
      <c r="V106" s="226" t="e">
        <f>IF(C106="",NA(),IF(OR(C106="Smelter not listed",C106="Smelter not yet identified"),MATCH($B106&amp;$D106,'Smelter Look-up'!$J:$J,0),MATCH($B106&amp;$C106,'Smelter Look-up'!$J:$J,0)))</f>
        <v>#N/A</v>
      </c>
      <c r="X106" s="227">
        <f t="shared" si="15"/>
        <v>0</v>
      </c>
      <c r="AB106" s="228" t="str">
        <f t="shared" si="16"/>
        <v>TinPT Sukses Inti Makmur</v>
      </c>
    </row>
    <row r="107" spans="1:28" s="227" customFormat="1" ht="51">
      <c r="A107" s="181" t="s">
        <v>15871</v>
      </c>
      <c r="B107" s="182" t="s">
        <v>1099</v>
      </c>
      <c r="C107" s="186" t="s">
        <v>15872</v>
      </c>
      <c r="D107" s="230"/>
      <c r="E107" s="182" t="s">
        <v>1074</v>
      </c>
      <c r="F107" s="182" t="s">
        <v>15871</v>
      </c>
      <c r="G107" s="182" t="s">
        <v>13177</v>
      </c>
      <c r="H107" s="183">
        <v>0</v>
      </c>
      <c r="I107" s="184" t="s">
        <v>15873</v>
      </c>
      <c r="J107" s="184" t="s">
        <v>12799</v>
      </c>
      <c r="K107" s="224"/>
      <c r="L107" s="224"/>
      <c r="M107" s="224"/>
      <c r="N107" s="224"/>
      <c r="O107" s="224"/>
      <c r="P107" s="185"/>
      <c r="Q107" s="225"/>
      <c r="R107" s="182" t="str">
        <f ca="1">IF(ISERROR($V107),"",OFFSET('Smelter Look-up'!$C$4,$V107-4,0)&amp;"")</f>
        <v/>
      </c>
      <c r="S107" s="181" t="str">
        <f t="shared" ca="1" si="14"/>
        <v>ID</v>
      </c>
      <c r="T107" s="181" t="str">
        <f ca="1">IF(B107="","",IF(ISERROR(MATCH($J107,SorP!$B$1:$B$6226,0)),"",INDIRECT("'SorP'!$A$"&amp;MATCH($S107&amp;$J107,SorP!C:C,0))))</f>
        <v>ID-BB</v>
      </c>
      <c r="U107" s="201"/>
      <c r="V107" s="226" t="e">
        <f>IF(C107="",NA(),IF(OR(C107="Smelter not listed",C107="Smelter not yet identified"),MATCH($B107&amp;$D107,'Smelter Look-up'!$J:$J,0),MATCH($B107&amp;$C107,'Smelter Look-up'!$J:$J,0)))</f>
        <v>#N/A</v>
      </c>
      <c r="X107" s="227">
        <f t="shared" si="15"/>
        <v>0</v>
      </c>
      <c r="AB107" s="228" t="str">
        <f t="shared" si="16"/>
        <v>TinPT Menara Cipta Mulia</v>
      </c>
    </row>
    <row r="108" spans="1:28" s="227" customFormat="1" ht="51">
      <c r="A108" s="181" t="s">
        <v>15833</v>
      </c>
      <c r="B108" s="182" t="s">
        <v>1099</v>
      </c>
      <c r="C108" s="186" t="s">
        <v>15834</v>
      </c>
      <c r="D108" s="230"/>
      <c r="E108" s="182" t="s">
        <v>1074</v>
      </c>
      <c r="F108" s="182" t="s">
        <v>15833</v>
      </c>
      <c r="G108" s="182" t="s">
        <v>13177</v>
      </c>
      <c r="H108" s="183">
        <v>0</v>
      </c>
      <c r="I108" s="184" t="s">
        <v>14989</v>
      </c>
      <c r="J108" s="184" t="s">
        <v>12799</v>
      </c>
      <c r="K108" s="224"/>
      <c r="L108" s="224"/>
      <c r="M108" s="224"/>
      <c r="N108" s="224"/>
      <c r="O108" s="224"/>
      <c r="P108" s="185"/>
      <c r="Q108" s="225"/>
      <c r="R108" s="182" t="str">
        <f ca="1">IF(ISERROR($V108),"",OFFSET('Smelter Look-up'!$C$4,$V108-4,0)&amp;"")</f>
        <v/>
      </c>
      <c r="S108" s="181" t="str">
        <f t="shared" ca="1" si="14"/>
        <v>ID</v>
      </c>
      <c r="T108" s="181" t="str">
        <f ca="1">IF(B108="","",IF(ISERROR(MATCH($J108,SorP!$B$1:$B$6226,0)),"",INDIRECT("'SorP'!$A$"&amp;MATCH($S108&amp;$J108,SorP!C:C,0))))</f>
        <v>ID-BB</v>
      </c>
      <c r="U108" s="201"/>
      <c r="V108" s="226" t="e">
        <f>IF(C108="",NA(),IF(OR(C108="Smelter not listed",C108="Smelter not yet identified"),MATCH($B108&amp;$D108,'Smelter Look-up'!$J:$J,0),MATCH($B108&amp;$C108,'Smelter Look-up'!$J:$J,0)))</f>
        <v>#N/A</v>
      </c>
      <c r="X108" s="227">
        <f t="shared" si="15"/>
        <v>0</v>
      </c>
      <c r="AB108" s="228" t="str">
        <f t="shared" si="16"/>
        <v>TinPT Bangka Serumpun</v>
      </c>
    </row>
    <row r="109" spans="1:28" s="227" customFormat="1" ht="51">
      <c r="A109" s="181" t="s">
        <v>15857</v>
      </c>
      <c r="B109" s="182" t="s">
        <v>1099</v>
      </c>
      <c r="C109" s="186" t="s">
        <v>15856</v>
      </c>
      <c r="D109" s="230"/>
      <c r="E109" s="182" t="s">
        <v>1074</v>
      </c>
      <c r="F109" s="182" t="s">
        <v>15857</v>
      </c>
      <c r="G109" s="182" t="s">
        <v>13177</v>
      </c>
      <c r="H109" s="183">
        <v>0</v>
      </c>
      <c r="I109" s="184" t="s">
        <v>15858</v>
      </c>
      <c r="J109" s="184" t="s">
        <v>12799</v>
      </c>
      <c r="K109" s="224"/>
      <c r="L109" s="224"/>
      <c r="M109" s="224"/>
      <c r="N109" s="224"/>
      <c r="O109" s="224"/>
      <c r="P109" s="185"/>
      <c r="Q109" s="225"/>
      <c r="R109" s="182" t="str">
        <f ca="1">IF(ISERROR($V109),"",OFFSET('Smelter Look-up'!$C$4,$V109-4,0)&amp;"")</f>
        <v/>
      </c>
      <c r="S109" s="181" t="str">
        <f t="shared" ca="1" si="14"/>
        <v>ID</v>
      </c>
      <c r="T109" s="181" t="str">
        <f ca="1">IF(B109="","",IF(ISERROR(MATCH($J109,SorP!$B$1:$B$6226,0)),"",INDIRECT("'SorP'!$A$"&amp;MATCH($S109&amp;$J109,SorP!C:C,0))))</f>
        <v>ID-BB</v>
      </c>
      <c r="U109" s="201"/>
      <c r="V109" s="226" t="e">
        <f>IF(C109="",NA(),IF(OR(C109="Smelter not listed",C109="Smelter not yet identified"),MATCH($B109&amp;$D109,'Smelter Look-up'!$J:$J,0),MATCH($B109&amp;$C109,'Smelter Look-up'!$J:$J,0)))</f>
        <v>#N/A</v>
      </c>
      <c r="X109" s="227">
        <f t="shared" si="15"/>
        <v>0</v>
      </c>
      <c r="AB109" s="228" t="str">
        <f t="shared" si="16"/>
        <v>TinPT Rajawali Rimba Perkasa</v>
      </c>
    </row>
    <row r="110" spans="1:28" s="227" customFormat="1" ht="38.25">
      <c r="A110" s="181" t="s">
        <v>13774</v>
      </c>
      <c r="B110" s="182" t="s">
        <v>1099</v>
      </c>
      <c r="C110" s="186" t="s">
        <v>13760</v>
      </c>
      <c r="D110" s="230"/>
      <c r="E110" s="182" t="s">
        <v>13050</v>
      </c>
      <c r="F110" s="182" t="s">
        <v>13774</v>
      </c>
      <c r="G110" s="182" t="s">
        <v>13177</v>
      </c>
      <c r="H110" s="183">
        <v>0</v>
      </c>
      <c r="I110" s="184" t="s">
        <v>13785</v>
      </c>
      <c r="J110" s="184" t="s">
        <v>10012</v>
      </c>
      <c r="K110" s="224"/>
      <c r="L110" s="224"/>
      <c r="M110" s="224"/>
      <c r="N110" s="224"/>
      <c r="O110" s="224"/>
      <c r="P110" s="185"/>
      <c r="Q110" s="225"/>
      <c r="R110" s="182" t="str">
        <f ca="1">IF(ISERROR($V110),"",OFFSET('Smelter Look-up'!$C$4,$V110-4,0)&amp;"")</f>
        <v>Luna Smelter, Ltd.</v>
      </c>
      <c r="S110" s="181" t="str">
        <f t="shared" ca="1" si="14"/>
        <v>RW</v>
      </c>
      <c r="T110" s="181" t="str">
        <f ca="1">IF(B110="","",IF(ISERROR(MATCH($J110,SorP!$B$1:$B$6226,0)),"",INDIRECT("'SorP'!$A$"&amp;MATCH($S110&amp;$J110,SorP!C:C,0))))</f>
        <v>RW-01</v>
      </c>
      <c r="U110" s="201"/>
      <c r="V110" s="226">
        <f>IF(C110="",NA(),IF(OR(C110="Smelter not listed",C110="Smelter not yet identified"),MATCH($B110&amp;$D110,'Smelter Look-up'!$J:$J,0),MATCH($B110&amp;$C110,'Smelter Look-up'!$J:$J,0)))</f>
        <v>465</v>
      </c>
      <c r="X110" s="227">
        <f t="shared" si="15"/>
        <v>0</v>
      </c>
      <c r="AB110" s="228" t="str">
        <f t="shared" si="16"/>
        <v>TinLuna Smelter, Ltd.</v>
      </c>
    </row>
    <row r="111" spans="1:28" s="227" customFormat="1" ht="63.75">
      <c r="A111" s="181" t="s">
        <v>13775</v>
      </c>
      <c r="B111" s="182" t="s">
        <v>1099</v>
      </c>
      <c r="C111" s="186" t="s">
        <v>13761</v>
      </c>
      <c r="D111" s="230"/>
      <c r="E111" s="182" t="s">
        <v>1074</v>
      </c>
      <c r="F111" s="182" t="s">
        <v>13775</v>
      </c>
      <c r="G111" s="182" t="s">
        <v>13177</v>
      </c>
      <c r="H111" s="183">
        <v>0</v>
      </c>
      <c r="I111" s="184" t="s">
        <v>14989</v>
      </c>
      <c r="J111" s="184" t="s">
        <v>12799</v>
      </c>
      <c r="K111" s="224"/>
      <c r="L111" s="224"/>
      <c r="M111" s="224"/>
      <c r="N111" s="224"/>
      <c r="O111" s="224"/>
      <c r="P111" s="185"/>
      <c r="Q111" s="225"/>
      <c r="R111" s="182" t="str">
        <f ca="1">IF(ISERROR($V111),"",OFFSET('Smelter Look-up'!$C$4,$V111-4,0)&amp;"")</f>
        <v>PT Mitra Sukses Globalindo</v>
      </c>
      <c r="S111" s="181" t="str">
        <f t="shared" ca="1" si="14"/>
        <v>ID</v>
      </c>
      <c r="T111" s="181" t="str">
        <f ca="1">IF(B111="","",IF(ISERROR(MATCH($J111,SorP!$B$1:$B$6226,0)),"",INDIRECT("'SorP'!$A$"&amp;MATCH($S111&amp;$J111,SorP!C:C,0))))</f>
        <v>ID-BB</v>
      </c>
      <c r="U111" s="201"/>
      <c r="V111" s="226">
        <f>IF(C111="",NA(),IF(OR(C111="Smelter not listed",C111="Smelter not yet identified"),MATCH($B111&amp;$D111,'Smelter Look-up'!$J:$J,0),MATCH($B111&amp;$C111,'Smelter Look-up'!$J:$J,0)))</f>
        <v>503</v>
      </c>
      <c r="X111" s="227">
        <f t="shared" si="15"/>
        <v>0</v>
      </c>
      <c r="AB111" s="228" t="str">
        <f t="shared" si="16"/>
        <v>TinPT Mitra Sukses Globalindo</v>
      </c>
    </row>
    <row r="112" spans="1:28" s="227" customFormat="1" ht="25.5">
      <c r="A112" s="181" t="s">
        <v>634</v>
      </c>
      <c r="B112" s="182" t="s">
        <v>1098</v>
      </c>
      <c r="C112" s="186" t="s">
        <v>15276</v>
      </c>
      <c r="D112" s="230"/>
      <c r="E112" s="182" t="s">
        <v>1070</v>
      </c>
      <c r="F112" s="182" t="s">
        <v>634</v>
      </c>
      <c r="G112" s="182" t="s">
        <v>13177</v>
      </c>
      <c r="H112" s="183">
        <v>0</v>
      </c>
      <c r="I112" s="184" t="s">
        <v>1510</v>
      </c>
      <c r="J112" s="184" t="s">
        <v>1511</v>
      </c>
      <c r="K112" s="224"/>
      <c r="L112" s="224"/>
      <c r="M112" s="224"/>
      <c r="N112" s="224"/>
      <c r="O112" s="224"/>
      <c r="P112" s="185"/>
      <c r="Q112" s="225"/>
      <c r="R112" s="182" t="str">
        <f ca="1">IF(ISERROR($V112),"",OFFSET('Smelter Look-up'!$C$4,$V112-4,0)&amp;"")</f>
        <v>Agosi AG</v>
      </c>
      <c r="S112" s="181" t="str">
        <f t="shared" ca="1" si="14"/>
        <v>DE</v>
      </c>
      <c r="T112" s="181" t="str">
        <f ca="1">IF(B112="","",IF(ISERROR(MATCH($J112,SorP!$B$1:$B$6226,0)),"",INDIRECT("'SorP'!$A$"&amp;MATCH($S112&amp;$J112,SorP!C:C,0))))</f>
        <v>DE-BW</v>
      </c>
      <c r="U112" s="201"/>
      <c r="V112" s="226">
        <f>IF(C112="",NA(),IF(OR(C112="Smelter not listed",C112="Smelter not yet identified"),MATCH($B112&amp;$D112,'Smelter Look-up'!$J:$J,0),MATCH($B112&amp;$C112,'Smelter Look-up'!$J:$J,0)))</f>
        <v>10</v>
      </c>
      <c r="X112" s="227">
        <f t="shared" si="15"/>
        <v>0</v>
      </c>
      <c r="AB112" s="228" t="str">
        <f t="shared" si="16"/>
        <v>GoldAgosi AG</v>
      </c>
    </row>
    <row r="113" spans="1:28" s="227" customFormat="1" ht="51">
      <c r="A113" s="181" t="s">
        <v>659</v>
      </c>
      <c r="B113" s="182" t="s">
        <v>1098</v>
      </c>
      <c r="C113" s="186" t="s">
        <v>1008</v>
      </c>
      <c r="D113" s="230"/>
      <c r="E113" s="182" t="s">
        <v>1070</v>
      </c>
      <c r="F113" s="182" t="s">
        <v>659</v>
      </c>
      <c r="G113" s="182" t="s">
        <v>13177</v>
      </c>
      <c r="H113" s="183">
        <v>0</v>
      </c>
      <c r="I113" s="184" t="s">
        <v>1510</v>
      </c>
      <c r="J113" s="184" t="s">
        <v>1511</v>
      </c>
      <c r="K113" s="224"/>
      <c r="L113" s="224"/>
      <c r="M113" s="224"/>
      <c r="N113" s="224"/>
      <c r="O113" s="224"/>
      <c r="P113" s="185"/>
      <c r="Q113" s="225"/>
      <c r="R113" s="182" t="str">
        <f ca="1">IF(ISERROR($V113),"",OFFSET('Smelter Look-up'!$C$4,$V113-4,0)&amp;"")</f>
        <v>Heimerle + Meule GmbH</v>
      </c>
      <c r="S113" s="181" t="str">
        <f t="shared" ca="1" si="14"/>
        <v>DE</v>
      </c>
      <c r="T113" s="181" t="str">
        <f ca="1">IF(B113="","",IF(ISERROR(MATCH($J113,SorP!$B$1:$B$6226,0)),"",INDIRECT("'SorP'!$A$"&amp;MATCH($S113&amp;$J113,SorP!C:C,0))))</f>
        <v>DE-BW</v>
      </c>
      <c r="U113" s="201"/>
      <c r="V113" s="226">
        <f>IF(C113="",NA(),IF(OR(C113="Smelter not listed",C113="Smelter not yet identified"),MATCH($B113&amp;$D113,'Smelter Look-up'!$J:$J,0),MATCH($B113&amp;$C113,'Smelter Look-up'!$J:$J,0)))</f>
        <v>104</v>
      </c>
      <c r="X113" s="227">
        <f t="shared" si="15"/>
        <v>0</v>
      </c>
      <c r="AB113" s="228" t="str">
        <f t="shared" si="16"/>
        <v>GoldHeimerle + Meule GmbH</v>
      </c>
    </row>
    <row r="114" spans="1:28" s="227" customFormat="1" ht="25.5">
      <c r="A114" s="181" t="s">
        <v>744</v>
      </c>
      <c r="B114" s="182" t="s">
        <v>1099</v>
      </c>
      <c r="C114" s="186" t="s">
        <v>15837</v>
      </c>
      <c r="D114" s="230"/>
      <c r="E114" s="182" t="s">
        <v>2384</v>
      </c>
      <c r="F114" s="182" t="s">
        <v>744</v>
      </c>
      <c r="G114" s="182" t="s">
        <v>13177</v>
      </c>
      <c r="H114" s="183">
        <v>0</v>
      </c>
      <c r="I114" s="184" t="s">
        <v>1719</v>
      </c>
      <c r="J114" s="184" t="s">
        <v>1699</v>
      </c>
      <c r="K114" s="224"/>
      <c r="L114" s="224"/>
      <c r="M114" s="224"/>
      <c r="N114" s="224"/>
      <c r="O114" s="224"/>
      <c r="P114" s="185"/>
      <c r="Q114" s="225"/>
      <c r="R114" s="182" t="str">
        <f ca="1">IF(ISERROR($V114),"",OFFSET('Smelter Look-up'!$C$4,$V114-4,0)&amp;"")</f>
        <v/>
      </c>
      <c r="S114" s="181" t="str">
        <f t="shared" ca="1" si="14"/>
        <v>US</v>
      </c>
      <c r="T114" s="181" t="str">
        <f ca="1">IF(B114="","",IF(ISERROR(MATCH($J114,SorP!$B$1:$B$6226,0)),"",INDIRECT("'SorP'!$A$"&amp;MATCH($S114&amp;$J114,SorP!C:C,0))))</f>
        <v>US-PA</v>
      </c>
      <c r="U114" s="201"/>
      <c r="V114" s="226" t="e">
        <f>IF(C114="",NA(),IF(OR(C114="Smelter not listed",C114="Smelter not yet identified"),MATCH($B114&amp;$D114,'Smelter Look-up'!$J:$J,0),MATCH($B114&amp;$C114,'Smelter Look-up'!$J:$J,0)))</f>
        <v>#N/A</v>
      </c>
      <c r="X114" s="227">
        <f t="shared" si="15"/>
        <v>0</v>
      </c>
      <c r="AB114" s="228" t="str">
        <f t="shared" si="16"/>
        <v>TinAlpha</v>
      </c>
    </row>
    <row r="115" spans="1:28" s="227" customFormat="1" ht="51">
      <c r="A115" s="181" t="s">
        <v>13122</v>
      </c>
      <c r="B115" s="182" t="s">
        <v>1099</v>
      </c>
      <c r="C115" s="186" t="s">
        <v>13121</v>
      </c>
      <c r="D115" s="230"/>
      <c r="E115" s="182" t="s">
        <v>2384</v>
      </c>
      <c r="F115" s="182" t="s">
        <v>13122</v>
      </c>
      <c r="G115" s="182" t="s">
        <v>13177</v>
      </c>
      <c r="H115" s="183">
        <v>0</v>
      </c>
      <c r="I115" s="184" t="s">
        <v>13123</v>
      </c>
      <c r="J115" s="184" t="s">
        <v>1699</v>
      </c>
      <c r="K115" s="224"/>
      <c r="L115" s="224"/>
      <c r="M115" s="224"/>
      <c r="N115" s="224"/>
      <c r="O115" s="224"/>
      <c r="P115" s="185"/>
      <c r="Q115" s="225"/>
      <c r="R115" s="182" t="str">
        <f ca="1">IF(ISERROR($V115),"",OFFSET('Smelter Look-up'!$C$4,$V115-4,0)&amp;"")</f>
        <v>Tin Technology &amp; Refining</v>
      </c>
      <c r="S115" s="181" t="str">
        <f t="shared" ca="1" si="14"/>
        <v>US</v>
      </c>
      <c r="T115" s="181" t="str">
        <f ca="1">IF(B115="","",IF(ISERROR(MATCH($J115,SorP!$B$1:$B$6226,0)),"",INDIRECT("'SorP'!$A$"&amp;MATCH($S115&amp;$J115,SorP!C:C,0))))</f>
        <v>US-PA</v>
      </c>
      <c r="U115" s="201"/>
      <c r="V115" s="226">
        <f>IF(C115="",NA(),IF(OR(C115="Smelter not listed",C115="Smelter not yet identified"),MATCH($B115&amp;$D115,'Smelter Look-up'!$J:$J,0),MATCH($B115&amp;$C115,'Smelter Look-up'!$J:$J,0)))</f>
        <v>525</v>
      </c>
      <c r="X115" s="227">
        <f t="shared" si="15"/>
        <v>0</v>
      </c>
      <c r="AB115" s="228" t="str">
        <f t="shared" si="16"/>
        <v>TinTin Technology &amp; Refining</v>
      </c>
    </row>
    <row r="116" spans="1:28" s="227" customFormat="1" ht="63.75">
      <c r="A116" s="181" t="s">
        <v>751</v>
      </c>
      <c r="B116" s="182" t="s">
        <v>1099</v>
      </c>
      <c r="C116" s="186" t="s">
        <v>1293</v>
      </c>
      <c r="D116" s="230"/>
      <c r="E116" s="182" t="s">
        <v>1069</v>
      </c>
      <c r="F116" s="182" t="s">
        <v>751</v>
      </c>
      <c r="G116" s="182" t="s">
        <v>13177</v>
      </c>
      <c r="H116" s="183">
        <v>0</v>
      </c>
      <c r="I116" s="184" t="s">
        <v>1734</v>
      </c>
      <c r="J116" s="184" t="s">
        <v>13515</v>
      </c>
      <c r="K116" s="224"/>
      <c r="L116" s="224"/>
      <c r="M116" s="224"/>
      <c r="N116" s="224"/>
      <c r="O116" s="224"/>
      <c r="P116" s="185"/>
      <c r="Q116" s="225"/>
      <c r="R116" s="182" t="str">
        <f ca="1">IF(ISERROR($V116),"",OFFSET('Smelter Look-up'!$C$4,$V116-4,0)&amp;"")</f>
        <v>China Tin Group Co., Ltd.</v>
      </c>
      <c r="S116" s="181" t="str">
        <f t="shared" ca="1" si="14"/>
        <v>CN</v>
      </c>
      <c r="T116" s="181" t="str">
        <f ca="1">IF(B116="","",IF(ISERROR(MATCH($J116,SorP!$B$1:$B$6226,0)),"",INDIRECT("'SorP'!$A$"&amp;MATCH($S116&amp;$J116,SorP!C:C,0))))</f>
        <v>CN-GX</v>
      </c>
      <c r="U116" s="201"/>
      <c r="V116" s="226">
        <f>IF(C116="",NA(),IF(OR(C116="Smelter not listed",C116="Smelter not yet identified"),MATCH($B116&amp;$D116,'Smelter Look-up'!$J:$J,0),MATCH($B116&amp;$C116,'Smelter Look-up'!$J:$J,0)))</f>
        <v>411</v>
      </c>
      <c r="X116" s="227">
        <f t="shared" si="15"/>
        <v>0</v>
      </c>
      <c r="AB116" s="228" t="str">
        <f t="shared" si="16"/>
        <v>TinChina Tin Group Co., Ltd.</v>
      </c>
    </row>
    <row r="117" spans="1:28" s="227" customFormat="1" ht="102">
      <c r="A117" s="181" t="s">
        <v>2481</v>
      </c>
      <c r="B117" s="182" t="s">
        <v>1099</v>
      </c>
      <c r="C117" s="186" t="s">
        <v>2480</v>
      </c>
      <c r="D117" s="230"/>
      <c r="E117" s="182" t="s">
        <v>1069</v>
      </c>
      <c r="F117" s="182" t="s">
        <v>2481</v>
      </c>
      <c r="G117" s="182" t="s">
        <v>13177</v>
      </c>
      <c r="H117" s="183">
        <v>0</v>
      </c>
      <c r="I117" s="184" t="s">
        <v>1781</v>
      </c>
      <c r="J117" s="184" t="s">
        <v>13536</v>
      </c>
      <c r="K117" s="224"/>
      <c r="L117" s="224"/>
      <c r="M117" s="224"/>
      <c r="N117" s="224"/>
      <c r="O117" s="224"/>
      <c r="P117" s="185"/>
      <c r="Q117" s="225"/>
      <c r="R117" s="182" t="str">
        <f ca="1">IF(ISERROR($V117),"",OFFSET('Smelter Look-up'!$C$4,$V117-4,0)&amp;"")</f>
        <v>Guangdong Hanhe Non-Ferrous Metal Co., Ltd.</v>
      </c>
      <c r="S117" s="181" t="str">
        <f t="shared" ca="1" si="14"/>
        <v>CN</v>
      </c>
      <c r="T117" s="181" t="str">
        <f ca="1">IF(B117="","",IF(ISERROR(MATCH($J117,SorP!$B$1:$B$6226,0)),"",INDIRECT("'SorP'!$A$"&amp;MATCH($S117&amp;$J117,SorP!C:C,0))))</f>
        <v>CN-GD</v>
      </c>
      <c r="U117" s="201"/>
      <c r="V117" s="226">
        <f>IF(C117="",NA(),IF(OR(C117="Smelter not listed",C117="Smelter not yet identified"),MATCH($B117&amp;$D117,'Smelter Look-up'!$J:$J,0),MATCH($B117&amp;$C117,'Smelter Look-up'!$J:$J,0)))</f>
        <v>450</v>
      </c>
      <c r="X117" s="227">
        <f t="shared" si="15"/>
        <v>0</v>
      </c>
      <c r="AB117" s="228" t="str">
        <f t="shared" si="16"/>
        <v>TinGuangdong Hanhe Non-Ferrous Metal Co., Ltd.</v>
      </c>
    </row>
    <row r="118" spans="1:28" s="227" customFormat="1" ht="102">
      <c r="A118" s="181" t="s">
        <v>765</v>
      </c>
      <c r="B118" s="182" t="s">
        <v>1099</v>
      </c>
      <c r="C118" s="186" t="s">
        <v>2120</v>
      </c>
      <c r="D118" s="230"/>
      <c r="E118" s="182" t="s">
        <v>1069</v>
      </c>
      <c r="F118" s="182" t="s">
        <v>765</v>
      </c>
      <c r="G118" s="182" t="s">
        <v>13177</v>
      </c>
      <c r="H118" s="183">
        <v>0</v>
      </c>
      <c r="I118" s="184" t="s">
        <v>2398</v>
      </c>
      <c r="J118" s="184" t="s">
        <v>13540</v>
      </c>
      <c r="K118" s="224"/>
      <c r="L118" s="224"/>
      <c r="M118" s="224"/>
      <c r="N118" s="224"/>
      <c r="O118" s="224"/>
      <c r="P118" s="185"/>
      <c r="Q118" s="225"/>
      <c r="R118" s="182" t="str">
        <f ca="1">IF(ISERROR($V118),"",OFFSET('Smelter Look-up'!$C$4,$V118-4,0)&amp;"")</f>
        <v>Yunnan Chengfeng Non-ferrous Metals Co., Ltd.</v>
      </c>
      <c r="S118" s="181" t="str">
        <f t="shared" ca="1" si="14"/>
        <v>CN</v>
      </c>
      <c r="T118" s="181" t="str">
        <f ca="1">IF(B118="","",IF(ISERROR(MATCH($J118,SorP!$B$1:$B$6226,0)),"",INDIRECT("'SorP'!$A$"&amp;MATCH($S118&amp;$J118,SorP!C:C,0))))</f>
        <v>CN-YN</v>
      </c>
      <c r="U118" s="201"/>
      <c r="V118" s="226">
        <f>IF(C118="",NA(),IF(OR(C118="Smelter not listed",C118="Smelter not yet identified"),MATCH($B118&amp;$D118,'Smelter Look-up'!$J:$J,0),MATCH($B118&amp;$C118,'Smelter Look-up'!$J:$J,0)))</f>
        <v>539</v>
      </c>
      <c r="X118" s="227">
        <f t="shared" si="15"/>
        <v>0</v>
      </c>
      <c r="AB118" s="228" t="str">
        <f t="shared" si="16"/>
        <v>TinYunnan Chengfeng Non-ferrous Metals Co., Ltd.</v>
      </c>
    </row>
    <row r="119" spans="1:28" s="227" customFormat="1" ht="89.25">
      <c r="A119" s="181" t="s">
        <v>766</v>
      </c>
      <c r="B119" s="182" t="s">
        <v>1099</v>
      </c>
      <c r="C119" s="186" t="s">
        <v>15303</v>
      </c>
      <c r="D119" s="230"/>
      <c r="E119" s="182" t="s">
        <v>1069</v>
      </c>
      <c r="F119" s="182" t="s">
        <v>766</v>
      </c>
      <c r="G119" s="182" t="s">
        <v>13177</v>
      </c>
      <c r="H119" s="183">
        <v>0</v>
      </c>
      <c r="I119" s="184" t="s">
        <v>2398</v>
      </c>
      <c r="J119" s="184" t="s">
        <v>13540</v>
      </c>
      <c r="K119" s="224"/>
      <c r="L119" s="224"/>
      <c r="M119" s="224"/>
      <c r="N119" s="224"/>
      <c r="O119" s="224"/>
      <c r="P119" s="185"/>
      <c r="Q119" s="225"/>
      <c r="R119" s="182" t="str">
        <f ca="1">IF(ISERROR($V119),"",OFFSET('Smelter Look-up'!$C$4,$V119-4,0)&amp;"")</f>
        <v>Tin Smelting Branch of Yunnan Tin Co., Ltd.</v>
      </c>
      <c r="S119" s="181" t="str">
        <f t="shared" ca="1" si="14"/>
        <v>CN</v>
      </c>
      <c r="T119" s="181" t="str">
        <f ca="1">IF(B119="","",IF(ISERROR(MATCH($J119,SorP!$B$1:$B$6226,0)),"",INDIRECT("'SorP'!$A$"&amp;MATCH($S119&amp;$J119,SorP!C:C,0))))</f>
        <v>CN-YN</v>
      </c>
      <c r="U119" s="201"/>
      <c r="V119" s="226">
        <f>IF(C119="",NA(),IF(OR(C119="Smelter not listed",C119="Smelter not yet identified"),MATCH($B119&amp;$D119,'Smelter Look-up'!$J:$J,0),MATCH($B119&amp;$C119,'Smelter Look-up'!$J:$J,0)))</f>
        <v>524</v>
      </c>
      <c r="X119" s="227">
        <f t="shared" si="15"/>
        <v>0</v>
      </c>
      <c r="AB119" s="228" t="str">
        <f t="shared" si="16"/>
        <v>TinTin Smelting Branch of Yunnan Tin Co., Ltd.</v>
      </c>
    </row>
    <row r="120" spans="1:28" s="227" customFormat="1" ht="38.25">
      <c r="A120" s="181" t="s">
        <v>15874</v>
      </c>
      <c r="B120" s="182" t="s">
        <v>1099</v>
      </c>
      <c r="C120" s="186" t="s">
        <v>15875</v>
      </c>
      <c r="D120" s="230"/>
      <c r="E120" s="182" t="s">
        <v>1074</v>
      </c>
      <c r="F120" s="182" t="s">
        <v>15874</v>
      </c>
      <c r="G120" s="182" t="s">
        <v>13177</v>
      </c>
      <c r="H120" s="183">
        <v>0</v>
      </c>
      <c r="I120" s="184" t="s">
        <v>14986</v>
      </c>
      <c r="J120" s="184" t="s">
        <v>12799</v>
      </c>
      <c r="K120" s="224"/>
      <c r="L120" s="224"/>
      <c r="M120" s="224"/>
      <c r="N120" s="224"/>
      <c r="O120" s="224"/>
      <c r="P120" s="185"/>
      <c r="Q120" s="225"/>
      <c r="R120" s="182" t="str">
        <f ca="1">IF(ISERROR($V120),"",OFFSET('Smelter Look-up'!$C$4,$V120-4,0)&amp;"")</f>
        <v/>
      </c>
      <c r="S120" s="181" t="str">
        <f t="shared" ca="1" si="14"/>
        <v>ID</v>
      </c>
      <c r="T120" s="181" t="str">
        <f ca="1">IF(B120="","",IF(ISERROR(MATCH($J120,SorP!$B$1:$B$6226,0)),"",INDIRECT("'SorP'!$A$"&amp;MATCH($S120&amp;$J120,SorP!C:C,0))))</f>
        <v>ID-BB</v>
      </c>
      <c r="U120" s="201"/>
      <c r="V120" s="226" t="e">
        <f>IF(C120="",NA(),IF(OR(C120="Smelter not listed",C120="Smelter not yet identified"),MATCH($B120&amp;$D120,'Smelter Look-up'!$J:$J,0),MATCH($B120&amp;$C120,'Smelter Look-up'!$J:$J,0)))</f>
        <v>#N/A</v>
      </c>
      <c r="X120" s="227">
        <f t="shared" si="15"/>
        <v>0</v>
      </c>
      <c r="AB120" s="228" t="str">
        <f t="shared" si="16"/>
        <v>TinPT Bukit Timah</v>
      </c>
    </row>
    <row r="121" spans="1:28" s="227" customFormat="1" ht="51">
      <c r="A121" s="181" t="s">
        <v>15876</v>
      </c>
      <c r="B121" s="182" t="s">
        <v>1099</v>
      </c>
      <c r="C121" s="186" t="s">
        <v>15877</v>
      </c>
      <c r="D121" s="230"/>
      <c r="E121" s="182" t="s">
        <v>1074</v>
      </c>
      <c r="F121" s="182" t="s">
        <v>15876</v>
      </c>
      <c r="G121" s="182" t="s">
        <v>13177</v>
      </c>
      <c r="H121" s="183">
        <v>0</v>
      </c>
      <c r="I121" s="184" t="s">
        <v>15878</v>
      </c>
      <c r="J121" s="184" t="s">
        <v>12799</v>
      </c>
      <c r="K121" s="224"/>
      <c r="L121" s="224"/>
      <c r="M121" s="224"/>
      <c r="N121" s="224"/>
      <c r="O121" s="224"/>
      <c r="P121" s="185"/>
      <c r="Q121" s="225"/>
      <c r="R121" s="182" t="str">
        <f ca="1">IF(ISERROR($V121),"",OFFSET('Smelter Look-up'!$C$4,$V121-4,0)&amp;"")</f>
        <v/>
      </c>
      <c r="S121" s="181" t="str">
        <f t="shared" ca="1" si="14"/>
        <v>ID</v>
      </c>
      <c r="T121" s="181" t="str">
        <f ca="1">IF(B121="","",IF(ISERROR(MATCH($J121,SorP!$B$1:$B$6226,0)),"",INDIRECT("'SorP'!$A$"&amp;MATCH($S121&amp;$J121,SorP!C:C,0))))</f>
        <v>ID-BB</v>
      </c>
      <c r="U121" s="201"/>
      <c r="V121" s="226" t="e">
        <f>IF(C121="",NA(),IF(OR(C121="Smelter not listed",C121="Smelter not yet identified"),MATCH($B121&amp;$D121,'Smelter Look-up'!$J:$J,0),MATCH($B121&amp;$C121,'Smelter Look-up'!$J:$J,0)))</f>
        <v>#N/A</v>
      </c>
      <c r="X121" s="227">
        <f t="shared" si="15"/>
        <v>0</v>
      </c>
      <c r="AB121" s="228" t="str">
        <f t="shared" si="16"/>
        <v>TinPT Babel Inti Perkasa</v>
      </c>
    </row>
    <row r="122" spans="1:28" s="227" customFormat="1" ht="51">
      <c r="A122" s="181" t="s">
        <v>15307</v>
      </c>
      <c r="B122" s="182" t="s">
        <v>1099</v>
      </c>
      <c r="C122" s="186" t="s">
        <v>15306</v>
      </c>
      <c r="D122" s="230"/>
      <c r="E122" s="182" t="s">
        <v>1074</v>
      </c>
      <c r="F122" s="182" t="s">
        <v>15307</v>
      </c>
      <c r="G122" s="182" t="s">
        <v>13177</v>
      </c>
      <c r="H122" s="183">
        <v>0</v>
      </c>
      <c r="I122" s="184" t="s">
        <v>15308</v>
      </c>
      <c r="J122" s="184" t="s">
        <v>1748</v>
      </c>
      <c r="K122" s="224"/>
      <c r="L122" s="224"/>
      <c r="M122" s="224"/>
      <c r="N122" s="224"/>
      <c r="O122" s="224"/>
      <c r="P122" s="185"/>
      <c r="Q122" s="225"/>
      <c r="R122" s="182" t="str">
        <f ca="1">IF(ISERROR($V122),"",OFFSET('Smelter Look-up'!$C$4,$V122-4,0)&amp;"")</f>
        <v>PT Cipta Persada Mulia</v>
      </c>
      <c r="S122" s="181" t="str">
        <f t="shared" ca="1" si="14"/>
        <v>ID</v>
      </c>
      <c r="T122" s="181" t="str">
        <f ca="1">IF(B122="","",IF(ISERROR(MATCH($J122,SorP!$B$1:$B$6226,0)),"",INDIRECT("'SorP'!$A$"&amp;MATCH($S122&amp;$J122,SorP!C:C,0))))</f>
        <v>ID-KR</v>
      </c>
      <c r="U122" s="201"/>
      <c r="V122" s="226">
        <f>IF(C122="",NA(),IF(OR(C122="Smelter not listed",C122="Smelter not yet identified"),MATCH($B122&amp;$D122,'Smelter Look-up'!$J:$J,0),MATCH($B122&amp;$C122,'Smelter Look-up'!$J:$J,0)))</f>
        <v>501</v>
      </c>
      <c r="X122" s="227">
        <f t="shared" si="15"/>
        <v>0</v>
      </c>
      <c r="AB122" s="228" t="str">
        <f t="shared" si="16"/>
        <v>TinPT Cipta Persada Mulia</v>
      </c>
    </row>
    <row r="123" spans="1:28" s="227" customFormat="1" ht="76.5">
      <c r="A123" s="181" t="s">
        <v>755</v>
      </c>
      <c r="B123" s="182" t="s">
        <v>1099</v>
      </c>
      <c r="C123" s="186" t="s">
        <v>1131</v>
      </c>
      <c r="D123" s="230"/>
      <c r="E123" s="182" t="s">
        <v>1077</v>
      </c>
      <c r="F123" s="182" t="s">
        <v>755</v>
      </c>
      <c r="G123" s="182" t="s">
        <v>13177</v>
      </c>
      <c r="H123" s="183">
        <v>0</v>
      </c>
      <c r="I123" s="184" t="s">
        <v>1509</v>
      </c>
      <c r="J123" s="184" t="s">
        <v>1509</v>
      </c>
      <c r="K123" s="224"/>
      <c r="L123" s="224"/>
      <c r="M123" s="224"/>
      <c r="N123" s="224"/>
      <c r="O123" s="224"/>
      <c r="P123" s="185"/>
      <c r="Q123" s="225"/>
      <c r="R123" s="182" t="str">
        <f ca="1">IF(ISERROR($V123),"",OFFSET('Smelter Look-up'!$C$4,$V123-4,0)&amp;"")</f>
        <v>Mitsubishi Materials Corporation</v>
      </c>
      <c r="S123" s="181" t="str">
        <f t="shared" ca="1" si="14"/>
        <v>JP</v>
      </c>
      <c r="T123" s="181" t="str">
        <f ca="1">IF(B123="","",IF(ISERROR(MATCH($J123,SorP!$B$1:$B$6226,0)),"",INDIRECT("'SorP'!$A$"&amp;MATCH($S123&amp;$J123,SorP!C:C,0))))</f>
        <v>JP-13</v>
      </c>
      <c r="U123" s="201"/>
      <c r="V123" s="226">
        <f>IF(C123="",NA(),IF(OR(C123="Smelter not listed",C123="Smelter not yet identified"),MATCH($B123&amp;$D123,'Smelter Look-up'!$J:$J,0),MATCH($B123&amp;$C123,'Smelter Look-up'!$J:$J,0)))</f>
        <v>482</v>
      </c>
      <c r="X123" s="227">
        <f t="shared" si="15"/>
        <v>0</v>
      </c>
      <c r="AB123" s="228" t="str">
        <f t="shared" si="16"/>
        <v>TinMitsubishi Materials Corporation</v>
      </c>
    </row>
    <row r="124" spans="1:28" s="227" customFormat="1" ht="51">
      <c r="A124" s="181" t="s">
        <v>1740</v>
      </c>
      <c r="B124" s="182" t="s">
        <v>1099</v>
      </c>
      <c r="C124" s="186" t="s">
        <v>2104</v>
      </c>
      <c r="D124" s="230"/>
      <c r="E124" s="182" t="s">
        <v>2384</v>
      </c>
      <c r="F124" s="182" t="s">
        <v>1740</v>
      </c>
      <c r="G124" s="182" t="s">
        <v>13177</v>
      </c>
      <c r="H124" s="183">
        <v>0</v>
      </c>
      <c r="I124" s="184" t="s">
        <v>1741</v>
      </c>
      <c r="J124" s="184" t="s">
        <v>1601</v>
      </c>
      <c r="K124" s="224"/>
      <c r="L124" s="224"/>
      <c r="M124" s="224"/>
      <c r="N124" s="224"/>
      <c r="O124" s="224"/>
      <c r="P124" s="185"/>
      <c r="Q124" s="225"/>
      <c r="R124" s="182" t="str">
        <f ca="1">IF(ISERROR($V124),"",OFFSET('Smelter Look-up'!$C$4,$V124-4,0)&amp;"")</f>
        <v>Metallic Resources, Inc.</v>
      </c>
      <c r="S124" s="181" t="str">
        <f t="shared" ca="1" si="14"/>
        <v>US</v>
      </c>
      <c r="T124" s="181" t="str">
        <f ca="1">IF(B124="","",IF(ISERROR(MATCH($J124,SorP!$B$1:$B$6226,0)),"",INDIRECT("'SorP'!$A$"&amp;MATCH($S124&amp;$J124,SorP!C:C,0))))</f>
        <v>US-OH</v>
      </c>
      <c r="U124" s="201"/>
      <c r="V124" s="226">
        <f>IF(C124="",NA(),IF(OR(C124="Smelter not listed",C124="Smelter not yet identified"),MATCH($B124&amp;$D124,'Smelter Look-up'!$J:$J,0),MATCH($B124&amp;$C124,'Smelter Look-up'!$J:$J,0)))</f>
        <v>473</v>
      </c>
      <c r="X124" s="227">
        <f t="shared" si="15"/>
        <v>0</v>
      </c>
      <c r="AB124" s="228" t="str">
        <f t="shared" si="16"/>
        <v>TinMetallic Resources, Inc.</v>
      </c>
    </row>
    <row r="125" spans="1:28" s="227" customFormat="1" ht="25.5">
      <c r="A125" s="181" t="s">
        <v>762</v>
      </c>
      <c r="B125" s="182" t="s">
        <v>1099</v>
      </c>
      <c r="C125" s="186" t="s">
        <v>761</v>
      </c>
      <c r="D125" s="230"/>
      <c r="E125" s="182" t="s">
        <v>2383</v>
      </c>
      <c r="F125" s="182" t="s">
        <v>762</v>
      </c>
      <c r="G125" s="182" t="s">
        <v>13177</v>
      </c>
      <c r="H125" s="183">
        <v>0</v>
      </c>
      <c r="I125" s="184" t="s">
        <v>13738</v>
      </c>
      <c r="J125" s="184" t="s">
        <v>1665</v>
      </c>
      <c r="K125" s="224"/>
      <c r="L125" s="224"/>
      <c r="M125" s="224"/>
      <c r="N125" s="224"/>
      <c r="O125" s="224"/>
      <c r="P125" s="185"/>
      <c r="Q125" s="225"/>
      <c r="R125" s="182" t="str">
        <f ca="1">IF(ISERROR($V125),"",OFFSET('Smelter Look-up'!$C$4,$V125-4,0)&amp;"")</f>
        <v>Rui Da Hung</v>
      </c>
      <c r="S125" s="181" t="str">
        <f t="shared" ca="1" si="14"/>
        <v>TW</v>
      </c>
      <c r="T125" s="181" t="str">
        <f ca="1">IF(B125="","",IF(ISERROR(MATCH($J125,SorP!$B$1:$B$6226,0)),"",INDIRECT("'SorP'!$A$"&amp;MATCH($S125&amp;$J125,SorP!C:C,0))))</f>
        <v>TW-TAO</v>
      </c>
      <c r="U125" s="201"/>
      <c r="V125" s="226">
        <f>IF(C125="",NA(),IF(OR(C125="Smelter not listed",C125="Smelter not yet identified"),MATCH($B125&amp;$D125,'Smelter Look-up'!$J:$J,0),MATCH($B125&amp;$C125,'Smelter Look-up'!$J:$J,0)))</f>
        <v>515</v>
      </c>
      <c r="X125" s="227">
        <f t="shared" si="15"/>
        <v>0</v>
      </c>
      <c r="AB125" s="228" t="str">
        <f t="shared" si="16"/>
        <v>TinRui Da Hung</v>
      </c>
    </row>
    <row r="126" spans="1:28" s="227" customFormat="1" ht="20.25">
      <c r="A126" s="181" t="s">
        <v>1374</v>
      </c>
      <c r="B126" s="182" t="s">
        <v>1099</v>
      </c>
      <c r="C126" s="186" t="s">
        <v>877</v>
      </c>
      <c r="D126" s="230"/>
      <c r="E126" s="182" t="s">
        <v>1077</v>
      </c>
      <c r="F126" s="182" t="s">
        <v>1374</v>
      </c>
      <c r="G126" s="182" t="s">
        <v>13177</v>
      </c>
      <c r="H126" s="183">
        <v>0</v>
      </c>
      <c r="I126" s="184" t="s">
        <v>1541</v>
      </c>
      <c r="J126" s="184" t="s">
        <v>1542</v>
      </c>
      <c r="K126" s="224"/>
      <c r="L126" s="224"/>
      <c r="M126" s="224"/>
      <c r="N126" s="224"/>
      <c r="O126" s="224"/>
      <c r="P126" s="185"/>
      <c r="Q126" s="225"/>
      <c r="R126" s="182" t="str">
        <f ca="1">IF(ISERROR($V126),"",OFFSET('Smelter Look-up'!$C$4,$V126-4,0)&amp;"")</f>
        <v>Dowa</v>
      </c>
      <c r="S126" s="181" t="str">
        <f t="shared" ca="1" si="14"/>
        <v>JP</v>
      </c>
      <c r="T126" s="181" t="str">
        <f ca="1">IF(B126="","",IF(ISERROR(MATCH($J126,SorP!$B$1:$B$6226,0)),"",INDIRECT("'SorP'!$A$"&amp;MATCH($S126&amp;$J126,SorP!C:C,0))))</f>
        <v>JP-05</v>
      </c>
      <c r="U126" s="201"/>
      <c r="V126" s="226">
        <f>IF(C126="",NA(),IF(OR(C126="Smelter not listed",C126="Smelter not yet identified"),MATCH($B126&amp;$D126,'Smelter Look-up'!$J:$J,0),MATCH($B126&amp;$C126,'Smelter Look-up'!$J:$J,0)))</f>
        <v>425</v>
      </c>
      <c r="X126" s="227">
        <f t="shared" si="15"/>
        <v>0</v>
      </c>
      <c r="AB126" s="228" t="str">
        <f t="shared" si="16"/>
        <v>TinDowa</v>
      </c>
    </row>
    <row r="127" spans="1:28" s="227" customFormat="1" ht="63.75">
      <c r="A127" s="181" t="s">
        <v>1746</v>
      </c>
      <c r="B127" s="182" t="s">
        <v>1099</v>
      </c>
      <c r="C127" s="186" t="s">
        <v>13119</v>
      </c>
      <c r="D127" s="230"/>
      <c r="E127" s="182" t="s">
        <v>1069</v>
      </c>
      <c r="F127" s="182" t="s">
        <v>1746</v>
      </c>
      <c r="G127" s="182" t="s">
        <v>13177</v>
      </c>
      <c r="H127" s="183">
        <v>0</v>
      </c>
      <c r="I127" s="184" t="s">
        <v>1732</v>
      </c>
      <c r="J127" s="184" t="s">
        <v>13531</v>
      </c>
      <c r="K127" s="224"/>
      <c r="L127" s="224"/>
      <c r="M127" s="224"/>
      <c r="N127" s="224"/>
      <c r="O127" s="224"/>
      <c r="P127" s="185"/>
      <c r="Q127" s="225"/>
      <c r="R127" s="182" t="str">
        <f ca="1">IF(ISERROR($V127),"",OFFSET('Smelter Look-up'!$C$4,$V127-4,0)&amp;"")</f>
        <v>Jiangxi New Nanshan Technology Ltd.</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458</v>
      </c>
      <c r="X127" s="227">
        <f t="shared" si="15"/>
        <v>0</v>
      </c>
      <c r="AB127" s="228" t="str">
        <f t="shared" si="16"/>
        <v>TinJiangxi New Nanshan Technology Ltd.</v>
      </c>
    </row>
    <row r="128" spans="1:28" s="227" customFormat="1" ht="89.25">
      <c r="A128" s="181" t="s">
        <v>748</v>
      </c>
      <c r="B128" s="182" t="s">
        <v>1099</v>
      </c>
      <c r="C128" s="186" t="s">
        <v>2099</v>
      </c>
      <c r="D128" s="230"/>
      <c r="E128" s="182" t="s">
        <v>1069</v>
      </c>
      <c r="F128" s="182" t="s">
        <v>748</v>
      </c>
      <c r="G128" s="182" t="s">
        <v>13177</v>
      </c>
      <c r="H128" s="183">
        <v>0</v>
      </c>
      <c r="I128" s="184" t="s">
        <v>2398</v>
      </c>
      <c r="J128" s="184" t="s">
        <v>13540</v>
      </c>
      <c r="K128" s="224"/>
      <c r="L128" s="224"/>
      <c r="M128" s="224"/>
      <c r="N128" s="224"/>
      <c r="O128" s="224"/>
      <c r="P128" s="185"/>
      <c r="Q128" s="225"/>
      <c r="R128" s="182" t="str">
        <f ca="1">IF(ISERROR($V128),"",OFFSET('Smelter Look-up'!$C$4,$V128-4,0)&amp;"")</f>
        <v>Gejiu Non-Ferrous Metal Processing Co., Ltd.</v>
      </c>
      <c r="S128" s="181" t="str">
        <f t="shared" ca="1" si="14"/>
        <v>CN</v>
      </c>
      <c r="T128" s="181" t="str">
        <f ca="1">IF(B128="","",IF(ISERROR(MATCH($J128,SorP!$B$1:$B$6226,0)),"",INDIRECT("'SorP'!$A$"&amp;MATCH($S128&amp;$J128,SorP!C:C,0))))</f>
        <v>CN-YN</v>
      </c>
      <c r="U128" s="201"/>
      <c r="V128" s="226">
        <f>IF(C128="",NA(),IF(OR(C128="Smelter not listed",C128="Smelter not yet identified"),MATCH($B128&amp;$D128,'Smelter Look-up'!$J:$J,0),MATCH($B128&amp;$C128,'Smelter Look-up'!$J:$J,0)))</f>
        <v>443</v>
      </c>
      <c r="X128" s="227">
        <f t="shared" si="15"/>
        <v>0</v>
      </c>
      <c r="AB128" s="228" t="str">
        <f t="shared" si="16"/>
        <v>TinGejiu Non-Ferrous Metal Processing Co., Ltd.</v>
      </c>
    </row>
    <row r="129" spans="1:28" s="227" customFormat="1" ht="38.25">
      <c r="A129" s="181" t="s">
        <v>14958</v>
      </c>
      <c r="B129" s="182" t="s">
        <v>1099</v>
      </c>
      <c r="C129" s="186" t="s">
        <v>14957</v>
      </c>
      <c r="D129" s="230"/>
      <c r="E129" s="182" t="s">
        <v>1071</v>
      </c>
      <c r="F129" s="182" t="s">
        <v>14958</v>
      </c>
      <c r="G129" s="182" t="s">
        <v>13177</v>
      </c>
      <c r="H129" s="183">
        <v>0</v>
      </c>
      <c r="I129" s="184" t="s">
        <v>3602</v>
      </c>
      <c r="J129" s="184" t="s">
        <v>3602</v>
      </c>
      <c r="K129" s="224"/>
      <c r="L129" s="224"/>
      <c r="M129" s="224"/>
      <c r="N129" s="224"/>
      <c r="O129" s="224"/>
      <c r="P129" s="185"/>
      <c r="Q129" s="225"/>
      <c r="R129" s="182" t="str">
        <f ca="1">IF(ISERROR($V129),"",OFFSET('Smelter Look-up'!$C$4,$V129-4,0)&amp;"")</f>
        <v>CRM Synergies</v>
      </c>
      <c r="S129" s="181" t="str">
        <f t="shared" ca="1" si="14"/>
        <v>ES</v>
      </c>
      <c r="T129" s="181" t="str">
        <f ca="1">IF(B129="","",IF(ISERROR(MATCH($J129,SorP!$B$1:$B$6226,0)),"",INDIRECT("'SorP'!$A$"&amp;MATCH($S129&amp;$J129,SorP!C:C,0))))</f>
        <v>ES-TO</v>
      </c>
      <c r="U129" s="201"/>
      <c r="V129" s="226">
        <f>IF(C129="",NA(),IF(OR(C129="Smelter not listed",C129="Smelter not yet identified"),MATCH($B129&amp;$D129,'Smelter Look-up'!$J:$J,0),MATCH($B129&amp;$C129,'Smelter Look-up'!$J:$J,0)))</f>
        <v>419</v>
      </c>
      <c r="X129" s="227">
        <f t="shared" si="15"/>
        <v>0</v>
      </c>
      <c r="AB129" s="228" t="str">
        <f t="shared" si="16"/>
        <v>TinCRM Synergies</v>
      </c>
    </row>
    <row r="130" spans="1:28" s="227" customFormat="1" ht="38.25">
      <c r="A130" s="181" t="s">
        <v>15625</v>
      </c>
      <c r="B130" s="182" t="s">
        <v>1099</v>
      </c>
      <c r="C130" s="186" t="s">
        <v>15624</v>
      </c>
      <c r="D130" s="230"/>
      <c r="E130" s="182" t="s">
        <v>1074</v>
      </c>
      <c r="F130" s="182" t="s">
        <v>15625</v>
      </c>
      <c r="G130" s="182" t="s">
        <v>13177</v>
      </c>
      <c r="H130" s="183" t="s">
        <v>15879</v>
      </c>
      <c r="I130" s="184" t="s">
        <v>14986</v>
      </c>
      <c r="J130" s="184" t="s">
        <v>12799</v>
      </c>
      <c r="K130" s="224"/>
      <c r="L130" s="224"/>
      <c r="M130" s="224"/>
      <c r="N130" s="224"/>
      <c r="O130" s="224"/>
      <c r="P130" s="185"/>
      <c r="Q130" s="225"/>
      <c r="R130" s="182" t="str">
        <f ca="1">IF(ISERROR($V130),"",OFFSET('Smelter Look-up'!$C$4,$V130-4,0)&amp;"")</f>
        <v>PT Rajehan Ariq</v>
      </c>
      <c r="S130" s="181" t="str">
        <f t="shared" ca="1" si="14"/>
        <v>ID</v>
      </c>
      <c r="T130" s="181" t="str">
        <f ca="1">IF(B130="","",IF(ISERROR(MATCH($J130,SorP!$B$1:$B$6226,0)),"",INDIRECT("'SorP'!$A$"&amp;MATCH($S130&amp;$J130,SorP!C:C,0))))</f>
        <v>ID-BB</v>
      </c>
      <c r="U130" s="201"/>
      <c r="V130" s="226">
        <f>IF(C130="",NA(),IF(OR(C130="Smelter not listed",C130="Smelter not yet identified"),MATCH($B130&amp;$D130,'Smelter Look-up'!$J:$J,0),MATCH($B130&amp;$C130,'Smelter Look-up'!$J:$J,0)))</f>
        <v>507</v>
      </c>
      <c r="X130" s="227">
        <f t="shared" si="15"/>
        <v>0</v>
      </c>
      <c r="AB130" s="228" t="str">
        <f t="shared" si="16"/>
        <v>TinPT Rajehan Ariq</v>
      </c>
    </row>
    <row r="131" spans="1:28" s="227" customFormat="1" ht="38.25">
      <c r="A131" s="181" t="s">
        <v>1774</v>
      </c>
      <c r="B131" s="182" t="s">
        <v>1099</v>
      </c>
      <c r="C131" s="186" t="s">
        <v>15342</v>
      </c>
      <c r="D131" s="230"/>
      <c r="E131" s="182" t="s">
        <v>1071</v>
      </c>
      <c r="F131" s="182" t="s">
        <v>1774</v>
      </c>
      <c r="G131" s="182" t="s">
        <v>13177</v>
      </c>
      <c r="H131" s="183">
        <v>0</v>
      </c>
      <c r="I131" s="184" t="s">
        <v>1775</v>
      </c>
      <c r="J131" s="184" t="s">
        <v>12359</v>
      </c>
      <c r="K131" s="224"/>
      <c r="L131" s="224"/>
      <c r="M131" s="224"/>
      <c r="N131" s="224"/>
      <c r="O131" s="224"/>
      <c r="P131" s="185"/>
      <c r="Q131" s="225"/>
      <c r="R131" s="182" t="str">
        <f ca="1">IF(ISERROR($V131),"",OFFSET('Smelter Look-up'!$C$4,$V131-4,0)&amp;"")</f>
        <v>Aurubis Berango</v>
      </c>
      <c r="S131" s="181" t="str">
        <f t="shared" ca="1" si="14"/>
        <v>ES</v>
      </c>
      <c r="T131" s="181" t="str">
        <f ca="1">IF(B131="","",IF(ISERROR(MATCH($J131,SorP!$B$1:$B$6226,0)),"",INDIRECT("'SorP'!$A$"&amp;MATCH($S131&amp;$J131,SorP!C:C,0))))</f>
        <v>ES-BI</v>
      </c>
      <c r="U131" s="201"/>
      <c r="V131" s="226">
        <f>IF(C131="",NA(),IF(OR(C131="Smelter not listed",C131="Smelter not yet identified"),MATCH($B131&amp;$D131,'Smelter Look-up'!$J:$J,0),MATCH($B131&amp;$C131,'Smelter Look-up'!$J:$J,0)))</f>
        <v>405</v>
      </c>
      <c r="X131" s="227">
        <f t="shared" si="15"/>
        <v>0</v>
      </c>
      <c r="AB131" s="228" t="str">
        <f t="shared" si="16"/>
        <v>TinAurubis Berango</v>
      </c>
    </row>
    <row r="132" spans="1:28" s="227" customFormat="1" ht="51">
      <c r="A132" s="181" t="s">
        <v>15880</v>
      </c>
      <c r="B132" s="182" t="s">
        <v>1099</v>
      </c>
      <c r="C132" s="186" t="s">
        <v>15881</v>
      </c>
      <c r="D132" s="230"/>
      <c r="E132" s="182" t="s">
        <v>1074</v>
      </c>
      <c r="F132" s="182" t="s">
        <v>15880</v>
      </c>
      <c r="G132" s="182" t="s">
        <v>13177</v>
      </c>
      <c r="H132" s="183">
        <v>0</v>
      </c>
      <c r="I132" s="184" t="s">
        <v>14986</v>
      </c>
      <c r="J132" s="184" t="s">
        <v>12799</v>
      </c>
      <c r="K132" s="224"/>
      <c r="L132" s="224"/>
      <c r="M132" s="224"/>
      <c r="N132" s="224"/>
      <c r="O132" s="224"/>
      <c r="P132" s="185"/>
      <c r="Q132" s="225"/>
      <c r="R132" s="182" t="str">
        <f ca="1">IF(ISERROR($V132),"",OFFSET('Smelter Look-up'!$C$4,$V132-4,0)&amp;"")</f>
        <v/>
      </c>
      <c r="S132" s="181" t="str">
        <f t="shared" ca="1" si="14"/>
        <v>ID</v>
      </c>
      <c r="T132" s="181" t="str">
        <f ca="1">IF(B132="","",IF(ISERROR(MATCH($J132,SorP!$B$1:$B$6226,0)),"",INDIRECT("'SorP'!$A$"&amp;MATCH($S132&amp;$J132,SorP!C:C,0))))</f>
        <v>ID-BB</v>
      </c>
      <c r="U132" s="201"/>
      <c r="V132" s="226" t="e">
        <f>IF(C132="",NA(),IF(OR(C132="Smelter not listed",C132="Smelter not yet identified"),MATCH($B132&amp;$D132,'Smelter Look-up'!$J:$J,0),MATCH($B132&amp;$C132,'Smelter Look-up'!$J:$J,0)))</f>
        <v>#N/A</v>
      </c>
      <c r="X132" s="227">
        <f t="shared" si="15"/>
        <v>0</v>
      </c>
      <c r="AB132" s="228" t="str">
        <f t="shared" si="16"/>
        <v>TinPT Tinindo Inter Nusa</v>
      </c>
    </row>
    <row r="133" spans="1:28" s="227" customFormat="1" ht="51">
      <c r="A133" s="181" t="s">
        <v>15882</v>
      </c>
      <c r="B133" s="182" t="s">
        <v>1099</v>
      </c>
      <c r="C133" s="186" t="s">
        <v>15883</v>
      </c>
      <c r="D133" s="230"/>
      <c r="E133" s="182" t="s">
        <v>1074</v>
      </c>
      <c r="F133" s="182" t="s">
        <v>15882</v>
      </c>
      <c r="G133" s="182" t="s">
        <v>13177</v>
      </c>
      <c r="H133" s="183">
        <v>0</v>
      </c>
      <c r="I133" s="184" t="s">
        <v>14986</v>
      </c>
      <c r="J133" s="184" t="s">
        <v>12799</v>
      </c>
      <c r="K133" s="224"/>
      <c r="L133" s="224"/>
      <c r="M133" s="224"/>
      <c r="N133" s="224"/>
      <c r="O133" s="224"/>
      <c r="P133" s="185"/>
      <c r="Q133" s="225"/>
      <c r="R133" s="182" t="str">
        <f ca="1">IF(ISERROR($V133),"",OFFSET('Smelter Look-up'!$C$4,$V133-4,0)&amp;"")</f>
        <v/>
      </c>
      <c r="S133" s="181" t="str">
        <f t="shared" ref="S133" ca="1" si="17">IF(B133="","",IF(ISERROR(MATCH($E133,CL,0)),"Unknown",INDIRECT("'C'!$A$"&amp;MATCH($E133,CL,0)+1)))</f>
        <v>ID</v>
      </c>
      <c r="T133" s="181" t="str">
        <f ca="1">IF(B133="","",IF(ISERROR(MATCH($J133,SorP!$B$1:$B$6226,0)),"",INDIRECT("'SorP'!$A$"&amp;MATCH($S133&amp;$J133,SorP!C:C,0))))</f>
        <v>ID-BB</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TinCV Venus Inti Perkasa</v>
      </c>
    </row>
    <row r="134" spans="1:28" s="227" customFormat="1" ht="102">
      <c r="A134" s="181" t="s">
        <v>14961</v>
      </c>
      <c r="B134" s="182" t="s">
        <v>1099</v>
      </c>
      <c r="C134" s="186" t="s">
        <v>14960</v>
      </c>
      <c r="D134" s="230"/>
      <c r="E134" s="182" t="s">
        <v>1065</v>
      </c>
      <c r="F134" s="182" t="s">
        <v>14961</v>
      </c>
      <c r="G134" s="182" t="s">
        <v>13177</v>
      </c>
      <c r="H134" s="183">
        <v>0</v>
      </c>
      <c r="I134" s="184" t="s">
        <v>14987</v>
      </c>
      <c r="J134" s="184" t="s">
        <v>1640</v>
      </c>
      <c r="K134" s="224"/>
      <c r="L134" s="224"/>
      <c r="M134" s="224"/>
      <c r="N134" s="224"/>
      <c r="O134" s="224"/>
      <c r="P134" s="185"/>
      <c r="Q134" s="225"/>
      <c r="R134" s="182" t="str">
        <f ca="1">IF(ISERROR($V134),"",OFFSET('Smelter Look-up'!$C$4,$V134-4,0)&amp;"")</f>
        <v>Fabrica Auricchio Industria e Comercio Ltda.</v>
      </c>
      <c r="S134" s="181" t="str">
        <f t="shared" ref="S134:S165" ca="1" si="20">IF(B134="","",IF(ISERROR(MATCH($E134,CL,0)),"Unknown",INDIRECT("'C'!$A$"&amp;MATCH($E134,CL,0)+1)))</f>
        <v>BR</v>
      </c>
      <c r="T134" s="181" t="str">
        <f ca="1">IF(B134="","",IF(ISERROR(MATCH($J134,SorP!$B$1:$B$6226,0)),"",INDIRECT("'SorP'!$A$"&amp;MATCH($S134&amp;$J134,SorP!C:C,0))))</f>
        <v>BR-SP</v>
      </c>
      <c r="U134" s="201"/>
      <c r="V134" s="226">
        <f>IF(C134="",NA(),IF(OR(C134="Smelter not listed",C134="Smelter not yet identified"),MATCH($B134&amp;$D134,'Smelter Look-up'!$J:$J,0),MATCH($B134&amp;$C134,'Smelter Look-up'!$J:$J,0)))</f>
        <v>436</v>
      </c>
      <c r="X134" s="227">
        <f t="shared" ref="X134:X165" si="21">IF(AND(C134="Smelter not listed",OR(LEN(D134)=0,LEN(E134)=0)),1,0)</f>
        <v>0</v>
      </c>
      <c r="AB134" s="228" t="str">
        <f t="shared" ref="AB134:AB165" si="22">B134&amp;C134</f>
        <v>TinFabrica Auricchio Industria e Comercio Ltda.</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MGB France</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Damien GUIDO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d.guido@mgb.fr</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00 33 450 182 770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Damien GUIDO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d.guido@mgb.fr</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5" t="str">
        <f ca="1">OFFSET(L!$C$1,MATCH("General"&amp;"Cpy",L!$A:$A,0)-1,SL,,)</f>
        <v>© 2025 Responsible Minerals Initiative. All rights reserved.</v>
      </c>
      <c r="C2006" s="395"/>
      <c r="D2006" s="395"/>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6e8a5f3d-031c-4996-804e-0e28298fe1e2"/>
    <ds:schemaRef ds:uri="http://www.w3.org/XML/1998/namespac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profil_defaut</cp:lastModifiedBy>
  <cp:lastPrinted>2015-04-21T20:47:43Z</cp:lastPrinted>
  <dcterms:created xsi:type="dcterms:W3CDTF">2010-06-21T21:00:23Z</dcterms:created>
  <dcterms:modified xsi:type="dcterms:W3CDTF">2025-10-07T07:30:05Z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