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5\"/>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8" i="2"/>
  <c r="A69" i="2"/>
  <c r="A70" i="2"/>
  <c r="A71" i="2"/>
  <c r="A73" i="2"/>
  <c r="A74" i="2"/>
  <c r="A75" i="2"/>
  <c r="A78" i="2"/>
  <c r="A65" i="2"/>
  <c r="B26" i="3"/>
  <c r="C26" i="3"/>
  <c r="B6" i="3"/>
  <c r="C6" i="3"/>
  <c r="B7" i="3"/>
  <c r="C9" i="3"/>
  <c r="B10" i="3"/>
  <c r="C10" i="3"/>
  <c r="B11" i="3"/>
  <c r="B12" i="3"/>
  <c r="C12" i="3"/>
  <c r="B13" i="3"/>
  <c r="C14" i="3"/>
  <c r="B15" i="3"/>
  <c r="C15" i="3"/>
  <c r="B16" i="3"/>
  <c r="B17" i="3"/>
  <c r="C17" i="3"/>
  <c r="B18" i="3"/>
  <c r="C19" i="3"/>
  <c r="B20" i="3"/>
  <c r="C20" i="3"/>
  <c r="B21" i="3"/>
  <c r="B22" i="3"/>
  <c r="C22" i="3"/>
  <c r="B23"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R12" i="5" s="1"/>
  <c r="X12" i="5"/>
  <c r="AB11" i="5"/>
  <c r="V11" i="5"/>
  <c r="X11" i="5"/>
  <c r="R11" i="5"/>
  <c r="AB10" i="5"/>
  <c r="V10" i="5"/>
  <c r="R10" i="5" s="1"/>
  <c r="X10" i="5"/>
  <c r="AB9" i="5"/>
  <c r="V9" i="5"/>
  <c r="X9" i="5"/>
  <c r="R9" i="5"/>
  <c r="AB8" i="5"/>
  <c r="V8" i="5"/>
  <c r="R8" i="5" s="1"/>
  <c r="X8" i="5"/>
  <c r="AB7" i="5"/>
  <c r="V7" i="5"/>
  <c r="R7" i="5" s="1"/>
  <c r="X7" i="5"/>
  <c r="AB6" i="5"/>
  <c r="V6" i="5"/>
  <c r="X6" i="5"/>
  <c r="R6" i="5"/>
  <c r="AB5" i="5"/>
  <c r="V5" i="5"/>
  <c r="R5" i="5" s="1"/>
  <c r="J13" i="6"/>
  <c r="M4" i="20"/>
  <c r="L4" i="20"/>
  <c r="I4" i="20"/>
  <c r="H4" i="20"/>
  <c r="G4" i="20"/>
  <c r="F4" i="20"/>
  <c r="D4" i="20"/>
  <c r="C4" i="20"/>
  <c r="B4"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H112" i="6" s="1"/>
  <c r="D112" i="6" s="1"/>
  <c r="B30" i="4"/>
  <c r="G7" i="6"/>
  <c r="B111" i="6"/>
  <c r="B110" i="6"/>
  <c r="B109" i="6"/>
  <c r="B108" i="6"/>
  <c r="B107" i="6"/>
  <c r="B106" i="6"/>
  <c r="B105" i="6"/>
  <c r="B104" i="6"/>
  <c r="B103" i="6"/>
  <c r="G103" i="6" s="1"/>
  <c r="B102" i="6"/>
  <c r="B101" i="6"/>
  <c r="B100" i="6"/>
  <c r="B99" i="6"/>
  <c r="G99" i="6" s="1"/>
  <c r="B98" i="6"/>
  <c r="G98" i="6" s="1"/>
  <c r="B96" i="6"/>
  <c r="B95" i="6"/>
  <c r="B94" i="6"/>
  <c r="G94" i="6" s="1"/>
  <c r="B92" i="6"/>
  <c r="B91" i="6"/>
  <c r="B90" i="6"/>
  <c r="B89" i="6"/>
  <c r="B88" i="6"/>
  <c r="G88" i="6" s="1"/>
  <c r="B87" i="6"/>
  <c r="B86" i="6"/>
  <c r="B85" i="6"/>
  <c r="B84" i="6"/>
  <c r="B83" i="6"/>
  <c r="G83" i="6" s="1"/>
  <c r="B81" i="6"/>
  <c r="B80" i="6"/>
  <c r="B79" i="6"/>
  <c r="B78" i="6"/>
  <c r="B77" i="6"/>
  <c r="B76" i="6"/>
  <c r="B75" i="6"/>
  <c r="B74" i="6"/>
  <c r="B73" i="6"/>
  <c r="G73" i="6" s="1"/>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F39" i="6" s="1"/>
  <c r="B26" i="6"/>
  <c r="B25" i="6"/>
  <c r="B24" i="6"/>
  <c r="B23" i="6"/>
  <c r="B22" i="6"/>
  <c r="G22" i="6" s="1"/>
  <c r="H22" i="6" s="1"/>
  <c r="D22" i="6" s="1"/>
  <c r="B21" i="6"/>
  <c r="F32" i="6" s="1"/>
  <c r="H32" i="6" s="1"/>
  <c r="B20" i="6"/>
  <c r="F42" i="6" s="1"/>
  <c r="B19" i="6"/>
  <c r="F30" i="6" s="1"/>
  <c r="H30" i="6" s="1"/>
  <c r="B18" i="6"/>
  <c r="B17" i="6"/>
  <c r="B15" i="6"/>
  <c r="G15" i="6" s="1"/>
  <c r="H15" i="6" s="1"/>
  <c r="D15" i="6" s="1"/>
  <c r="B13" i="6"/>
  <c r="B12" i="6"/>
  <c r="B11" i="6"/>
  <c r="B10" i="6"/>
  <c r="B9" i="6"/>
  <c r="G9" i="6" s="1"/>
  <c r="H9" i="6" s="1"/>
  <c r="D9" i="6" s="1"/>
  <c r="B6" i="6"/>
  <c r="B4" i="6"/>
  <c r="O30" i="4"/>
  <c r="P54" i="4"/>
  <c r="B119" i="4" s="1"/>
  <c r="A97" i="6" s="1"/>
  <c r="B131" i="4"/>
  <c r="A108" i="6" s="1"/>
  <c r="B114" i="4"/>
  <c r="A93" i="6" s="1"/>
  <c r="P53" i="4"/>
  <c r="Q53" i="4" s="1"/>
  <c r="P42" i="4"/>
  <c r="B42" i="4"/>
  <c r="A28" i="6"/>
  <c r="P41" i="4"/>
  <c r="Q41" i="4" s="1"/>
  <c r="A17" i="6"/>
  <c r="B29" i="4"/>
  <c r="A16" i="6" s="1"/>
  <c r="B26" i="4"/>
  <c r="A15" i="6" s="1"/>
  <c r="B24" i="4"/>
  <c r="A13" i="6" s="1"/>
  <c r="B21" i="4"/>
  <c r="A11" i="6" s="1"/>
  <c r="B20" i="4"/>
  <c r="A10" i="6" s="1"/>
  <c r="B19" i="4"/>
  <c r="A9" i="6" s="1"/>
  <c r="A8" i="6"/>
  <c r="B10" i="4"/>
  <c r="A6" i="6" s="1"/>
  <c r="B9" i="4"/>
  <c r="A5" i="6" s="1"/>
  <c r="A139" i="4"/>
  <c r="B138" i="4"/>
  <c r="H114" i="4"/>
  <c r="G29" i="4"/>
  <c r="G53" i="4" s="1"/>
  <c r="D29" i="4"/>
  <c r="D114" i="4" s="1"/>
  <c r="H101" i="4"/>
  <c r="S51" i="4"/>
  <c r="T51" i="4"/>
  <c r="U51" i="4"/>
  <c r="V51" i="4"/>
  <c r="W51" i="4"/>
  <c r="X51" i="4"/>
  <c r="Y51" i="4"/>
  <c r="Z51" i="4"/>
  <c r="AA51" i="4" s="1"/>
  <c r="AB51" i="4" s="1"/>
  <c r="AC51" i="4" s="1"/>
  <c r="S50" i="4"/>
  <c r="T50" i="4"/>
  <c r="U50" i="4"/>
  <c r="V50" i="4"/>
  <c r="W50" i="4"/>
  <c r="X50" i="4"/>
  <c r="Y50" i="4"/>
  <c r="Z50" i="4"/>
  <c r="AA50" i="4" s="1"/>
  <c r="S49" i="4"/>
  <c r="T49" i="4"/>
  <c r="U49" i="4"/>
  <c r="V49" i="4"/>
  <c r="W49" i="4"/>
  <c r="X48" i="4" s="1"/>
  <c r="Y48" i="4" s="1"/>
  <c r="S48" i="4"/>
  <c r="T48" i="4"/>
  <c r="U48" i="4"/>
  <c r="V48" i="4"/>
  <c r="W48" i="4" s="1"/>
  <c r="S47" i="4"/>
  <c r="S46" i="4"/>
  <c r="T47" i="4"/>
  <c r="U47" i="4"/>
  <c r="V47" i="4" s="1"/>
  <c r="W47" i="4" s="1"/>
  <c r="X47" i="4" s="1"/>
  <c r="Y47" i="4" s="1"/>
  <c r="T46" i="4"/>
  <c r="U46" i="4" s="1"/>
  <c r="S45" i="4"/>
  <c r="S44" i="4"/>
  <c r="T45" i="4"/>
  <c r="U45" i="4"/>
  <c r="V45" i="4" s="1"/>
  <c r="T44" i="4"/>
  <c r="S43" i="4"/>
  <c r="T43" i="4" s="1"/>
  <c r="U43" i="4" s="1"/>
  <c r="S42" i="4"/>
  <c r="U44" i="4"/>
  <c r="Q39" i="4"/>
  <c r="P39" i="4"/>
  <c r="Q38" i="4"/>
  <c r="P38" i="4"/>
  <c r="Q37" i="4"/>
  <c r="P37" i="4"/>
  <c r="Q36" i="4"/>
  <c r="P36" i="4"/>
  <c r="Q35" i="4"/>
  <c r="P35" i="4"/>
  <c r="Q34" i="4"/>
  <c r="P34" i="4"/>
  <c r="Q33" i="4"/>
  <c r="P33" i="4"/>
  <c r="Q32" i="4"/>
  <c r="P32" i="4"/>
  <c r="Q31" i="4"/>
  <c r="P31" i="4"/>
  <c r="Q30" i="4"/>
  <c r="P30" i="4"/>
  <c r="B28" i="4"/>
  <c r="B25" i="4"/>
  <c r="B23" i="4"/>
  <c r="B18" i="4"/>
  <c r="B16" i="4"/>
  <c r="B13" i="4"/>
  <c r="G3" i="5"/>
  <c r="J73" i="6"/>
  <c r="C4" i="5"/>
  <c r="F124" i="6" s="1"/>
  <c r="C124" i="6" s="1"/>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V13" i="5"/>
  <c r="X13" i="5"/>
  <c r="V14" i="5"/>
  <c r="X14" i="5"/>
  <c r="V15" i="5"/>
  <c r="X15" i="5"/>
  <c r="V16" i="5"/>
  <c r="X16" i="5"/>
  <c r="V17" i="5"/>
  <c r="X17" i="5"/>
  <c r="V18" i="5"/>
  <c r="X18" i="5"/>
  <c r="V19" i="5"/>
  <c r="X19" i="5"/>
  <c r="V20" i="5"/>
  <c r="X20" i="5"/>
  <c r="V21" i="5"/>
  <c r="R21" i="5" s="1"/>
  <c r="X21" i="5"/>
  <c r="V22" i="5"/>
  <c r="X22" i="5"/>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28" i="6"/>
  <c r="F17" i="6"/>
  <c r="C123" i="6"/>
  <c r="C122" i="6"/>
  <c r="C121" i="6"/>
  <c r="C120" i="6"/>
  <c r="G102" i="6"/>
  <c r="G101" i="6"/>
  <c r="G100" i="6"/>
  <c r="G87" i="6"/>
  <c r="G86" i="6"/>
  <c r="G85" i="6"/>
  <c r="G84" i="6"/>
  <c r="G77" i="6"/>
  <c r="G76" i="6"/>
  <c r="G75" i="6"/>
  <c r="G74" i="6"/>
  <c r="G72" i="6"/>
  <c r="J74" i="6"/>
  <c r="G65" i="6"/>
  <c r="G64" i="6"/>
  <c r="G63" i="6"/>
  <c r="G62" i="6"/>
  <c r="G61" i="6"/>
  <c r="G55" i="6"/>
  <c r="G54" i="6"/>
  <c r="G53" i="6"/>
  <c r="G52" i="6"/>
  <c r="G51" i="6"/>
  <c r="G50" i="6"/>
  <c r="G44" i="6"/>
  <c r="G43" i="6"/>
  <c r="G42" i="6"/>
  <c r="G41" i="6"/>
  <c r="G39" i="6"/>
  <c r="G33" i="6"/>
  <c r="G32" i="6"/>
  <c r="G31" i="6"/>
  <c r="G30" i="6"/>
  <c r="G29" i="6"/>
  <c r="G17" i="6"/>
  <c r="H17" i="6"/>
  <c r="D17" i="6"/>
  <c r="H7" i="6"/>
  <c r="D7" i="6"/>
  <c r="C37" i="6"/>
  <c r="C36" i="6"/>
  <c r="C35" i="6"/>
  <c r="C34" i="6"/>
  <c r="I33" i="6"/>
  <c r="J33" i="6"/>
  <c r="I32" i="6"/>
  <c r="I31" i="6"/>
  <c r="J31" i="6"/>
  <c r="I30" i="6"/>
  <c r="J30" i="6"/>
  <c r="I29" i="6"/>
  <c r="J29" i="6"/>
  <c r="B155" i="5"/>
  <c r="B156" i="5"/>
  <c r="B190" i="5"/>
  <c r="B191" i="5"/>
  <c r="B289" i="5"/>
  <c r="B290" i="5"/>
  <c r="B347" i="5"/>
  <c r="B348" i="5"/>
  <c r="B394" i="5"/>
  <c r="B395" i="5"/>
  <c r="AB13" i="5"/>
  <c r="AB14" i="5"/>
  <c r="AB15" i="5"/>
  <c r="AB16" i="5"/>
  <c r="G114" i="6" s="1"/>
  <c r="AB17" i="5"/>
  <c r="AB18" i="5"/>
  <c r="G118" i="6" s="1"/>
  <c r="AB19" i="5"/>
  <c r="AB20" i="5"/>
  <c r="G119" i="6" s="1"/>
  <c r="AB21" i="5"/>
  <c r="G115" i="6" s="1"/>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D4" i="6" s="1"/>
  <c r="B21" i="13"/>
  <c r="C4" i="8"/>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6" i="6"/>
  <c r="G108" i="6"/>
  <c r="G109" i="6"/>
  <c r="G110" i="6"/>
  <c r="G111" i="6"/>
  <c r="G10" i="6"/>
  <c r="H10" i="6" s="1"/>
  <c r="D10" i="6" s="1"/>
  <c r="G13" i="6"/>
  <c r="H13" i="6" s="1"/>
  <c r="D13" i="6" s="1"/>
  <c r="F6" i="6"/>
  <c r="H6" i="6" s="1"/>
  <c r="D6" i="6" s="1"/>
  <c r="G6" i="6"/>
  <c r="G11" i="6"/>
  <c r="H11" i="6" s="1"/>
  <c r="D11" i="6" s="1"/>
  <c r="G12" i="6"/>
  <c r="H12"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99" i="6" s="1"/>
  <c r="B32" i="4"/>
  <c r="A19" i="6"/>
  <c r="AA15" i="4"/>
  <c r="B33" i="4"/>
  <c r="A20" i="6"/>
  <c r="F18" i="6"/>
  <c r="H18" i="6"/>
  <c r="F19" i="6"/>
  <c r="F20" i="6"/>
  <c r="O33" i="4"/>
  <c r="P57" i="4"/>
  <c r="B57" i="4" s="1"/>
  <c r="A42" i="6" s="1"/>
  <c r="B123" i="4"/>
  <c r="A101" i="6"/>
  <c r="O32" i="4"/>
  <c r="P56" i="4"/>
  <c r="B68" i="4" s="1"/>
  <c r="A52" i="6" s="1"/>
  <c r="B122" i="4"/>
  <c r="A100" i="6" s="1"/>
  <c r="B93" i="4"/>
  <c r="A75" i="6" s="1"/>
  <c r="B81" i="4"/>
  <c r="A64" i="6"/>
  <c r="B69" i="4"/>
  <c r="A53" i="6" s="1"/>
  <c r="B56" i="4"/>
  <c r="A41" i="6" s="1"/>
  <c r="P45" i="4"/>
  <c r="B45" i="4"/>
  <c r="A31" i="6" s="1"/>
  <c r="P44" i="4"/>
  <c r="B44" i="4"/>
  <c r="A30" i="6" s="1"/>
  <c r="A116" i="6"/>
  <c r="A117" i="6"/>
  <c r="F29" i="6"/>
  <c r="H29" i="6"/>
  <c r="D29" i="6" s="1"/>
  <c r="K115" i="6"/>
  <c r="A115" i="6"/>
  <c r="D18" i="6"/>
  <c r="O31" i="4"/>
  <c r="P43" i="4"/>
  <c r="B43" i="4"/>
  <c r="A29" i="6"/>
  <c r="P55" i="4"/>
  <c r="B67" i="4" s="1"/>
  <c r="A51" i="6" s="1"/>
  <c r="B55" i="4"/>
  <c r="A40" i="6" s="1"/>
  <c r="B121" i="4"/>
  <c r="A99" i="6" s="1"/>
  <c r="AA16" i="4" a="1"/>
  <c r="AA16" i="4"/>
  <c r="A118" i="6"/>
  <c r="AA17" i="4" a="1"/>
  <c r="AA17" i="4"/>
  <c r="A119" i="6"/>
  <c r="B34" i="4"/>
  <c r="A21" i="6"/>
  <c r="F43" i="6"/>
  <c r="F118" i="6" s="1"/>
  <c r="F21" i="6"/>
  <c r="O34" i="4"/>
  <c r="P46" i="4"/>
  <c r="B46" i="4" s="1"/>
  <c r="A32" i="6" s="1"/>
  <c r="P58" i="4"/>
  <c r="B106" i="4" s="1"/>
  <c r="A87" i="6" s="1"/>
  <c r="B58" i="4"/>
  <c r="A43" i="6"/>
  <c r="B82" i="4"/>
  <c r="A65" i="6"/>
  <c r="B94" i="4"/>
  <c r="A76" i="6" s="1"/>
  <c r="B124" i="4"/>
  <c r="A102" i="6"/>
  <c r="B35" i="4"/>
  <c r="O35" i="4"/>
  <c r="P59" i="4"/>
  <c r="B125" i="4" s="1"/>
  <c r="A103" i="6" s="1"/>
  <c r="P47" i="4"/>
  <c r="B47" i="4" s="1"/>
  <c r="A33" i="6" s="1"/>
  <c r="A22" i="6"/>
  <c r="F22"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A26" i="6"/>
  <c r="S5" i="5"/>
  <c r="S13" i="5"/>
  <c r="S18" i="5"/>
  <c r="S10" i="5"/>
  <c r="S14" i="5"/>
  <c r="S19" i="5"/>
  <c r="S22" i="5"/>
  <c r="S8" i="5"/>
  <c r="S15" i="5"/>
  <c r="S20" i="5"/>
  <c r="S11" i="5"/>
  <c r="S6" i="5"/>
  <c r="S16" i="5"/>
  <c r="S21" i="5"/>
  <c r="S17" i="5"/>
  <c r="S9" i="5"/>
  <c r="S12" i="5"/>
  <c r="S7" i="5"/>
  <c r="H118" i="6" l="1"/>
  <c r="D118" i="6" s="1"/>
  <c r="G117" i="6"/>
  <c r="G116" i="6"/>
  <c r="H99" i="6"/>
  <c r="D99" i="6" s="1"/>
  <c r="AB50" i="4"/>
  <c r="B95" i="4"/>
  <c r="A77" i="6" s="1"/>
  <c r="V46" i="4"/>
  <c r="X49" i="4"/>
  <c r="Y49" i="4" s="1"/>
  <c r="Z49" i="4" s="1"/>
  <c r="AA49" i="4" s="1"/>
  <c r="AB49" i="4" s="1"/>
  <c r="AC49" i="4" s="1"/>
  <c r="B83" i="4"/>
  <c r="A66" i="6" s="1"/>
  <c r="V44" i="4"/>
  <c r="W44" i="4" s="1"/>
  <c r="B71" i="4"/>
  <c r="A55" i="6" s="1"/>
  <c r="V43" i="4"/>
  <c r="H40" i="6"/>
  <c r="D40" i="6" s="1"/>
  <c r="F115" i="6"/>
  <c r="F51" i="6"/>
  <c r="T42" i="4"/>
  <c r="U42" i="4" s="1"/>
  <c r="AC50" i="4"/>
  <c r="F98" i="6"/>
  <c r="H98" i="6" s="1"/>
  <c r="D98" i="6" s="1"/>
  <c r="F50" i="6"/>
  <c r="F114" i="6"/>
  <c r="B2" i="6" s="1"/>
  <c r="Z47" i="4"/>
  <c r="B133" i="4"/>
  <c r="A109" i="6" s="1"/>
  <c r="G28" i="6"/>
  <c r="B90" i="4"/>
  <c r="A72" i="6" s="1"/>
  <c r="H28" i="6"/>
  <c r="B102" i="4"/>
  <c r="A83" i="6" s="1"/>
  <c r="V42" i="4"/>
  <c r="W42" i="4" s="1"/>
  <c r="B120" i="4"/>
  <c r="A98" i="6" s="1"/>
  <c r="H42" i="6"/>
  <c r="D42" i="6" s="1"/>
  <c r="F101" i="6"/>
  <c r="H101" i="6" s="1"/>
  <c r="D101" i="6" s="1"/>
  <c r="F117" i="6"/>
  <c r="F53" i="6"/>
  <c r="C101" i="6"/>
  <c r="F31" i="6"/>
  <c r="H31" i="6" s="1"/>
  <c r="C42" i="6"/>
  <c r="G20" i="6"/>
  <c r="H20" i="6" s="1"/>
  <c r="D20" i="6" s="1"/>
  <c r="H117" i="6"/>
  <c r="D117" i="6" s="1"/>
  <c r="B105" i="4"/>
  <c r="A86" i="6" s="1"/>
  <c r="D30" i="6"/>
  <c r="K116" i="6"/>
  <c r="F41" i="6"/>
  <c r="G19" i="6"/>
  <c r="H19" i="6" s="1"/>
  <c r="D19" i="6" s="1"/>
  <c r="B104" i="4"/>
  <c r="A85" i="6" s="1"/>
  <c r="B80" i="4"/>
  <c r="A63" i="6" s="1"/>
  <c r="B92" i="4"/>
  <c r="A74" i="6" s="1"/>
  <c r="C30" i="6"/>
  <c r="C15" i="6"/>
  <c r="C13" i="6"/>
  <c r="C12" i="6"/>
  <c r="C11" i="6"/>
  <c r="C10" i="6"/>
  <c r="C9" i="6"/>
  <c r="B17" i="4"/>
  <c r="I114" i="4"/>
  <c r="B22" i="4"/>
  <c r="A12" i="6" s="1"/>
  <c r="B135" i="4"/>
  <c r="A110" i="6" s="1"/>
  <c r="E4" i="20"/>
  <c r="C21" i="3"/>
  <c r="C16" i="3"/>
  <c r="C11" i="3"/>
  <c r="A9" i="2"/>
  <c r="A72" i="2"/>
  <c r="J32" i="6"/>
  <c r="E4" i="5"/>
  <c r="J75" i="6"/>
  <c r="B12" i="4"/>
  <c r="A7" i="6" s="1"/>
  <c r="B41" i="4"/>
  <c r="A27" i="6" s="1"/>
  <c r="B117" i="4"/>
  <c r="A95" i="6" s="1"/>
  <c r="B3" i="20"/>
  <c r="J4" i="20"/>
  <c r="B28" i="3"/>
  <c r="B19" i="3"/>
  <c r="B14" i="3"/>
  <c r="B9" i="3"/>
  <c r="A77" i="2"/>
  <c r="A67" i="2"/>
  <c r="D4" i="5"/>
  <c r="E4" i="8"/>
  <c r="B113" i="4"/>
  <c r="A4" i="20"/>
  <c r="K4" i="20"/>
  <c r="C23" i="3"/>
  <c r="C18" i="3"/>
  <c r="C13" i="3"/>
  <c r="C7" i="3"/>
  <c r="A76" i="2"/>
  <c r="H114" i="6"/>
  <c r="C114" i="6" s="1"/>
  <c r="H115" i="6"/>
  <c r="D115" i="6" s="1"/>
  <c r="C22" i="6"/>
  <c r="B107" i="4"/>
  <c r="A88" i="6" s="1"/>
  <c r="B59" i="4"/>
  <c r="A44" i="6" s="1"/>
  <c r="F44" i="6"/>
  <c r="F33" i="6"/>
  <c r="H33" i="6" s="1"/>
  <c r="C33" i="6" s="1"/>
  <c r="B91" i="4"/>
  <c r="A73" i="6" s="1"/>
  <c r="C29" i="6"/>
  <c r="C115" i="6"/>
  <c r="B103" i="4"/>
  <c r="A84" i="6" s="1"/>
  <c r="C99" i="6"/>
  <c r="B79" i="4"/>
  <c r="A62" i="6" s="1"/>
  <c r="C18" i="6"/>
  <c r="C40" i="6"/>
  <c r="B101" i="4"/>
  <c r="A82" i="6" s="1"/>
  <c r="B65" i="4"/>
  <c r="A49" i="6" s="1"/>
  <c r="C32" i="6"/>
  <c r="D32" i="6"/>
  <c r="K118" i="6"/>
  <c r="G21" i="6"/>
  <c r="H21" i="6" s="1"/>
  <c r="D21" i="6" s="1"/>
  <c r="H43" i="6"/>
  <c r="D43" i="6" s="1"/>
  <c r="B70" i="4"/>
  <c r="A54" i="6" s="1"/>
  <c r="F102" i="6"/>
  <c r="H102" i="6" s="1"/>
  <c r="D102" i="6" s="1"/>
  <c r="F94" i="6"/>
  <c r="F108" i="6" s="1"/>
  <c r="H108" i="6" s="1"/>
  <c r="D108" i="6" s="1"/>
  <c r="C17" i="6"/>
  <c r="F54" i="6"/>
  <c r="K114" i="6"/>
  <c r="D28" i="6"/>
  <c r="C98" i="6"/>
  <c r="H39" i="6"/>
  <c r="D39" i="6" s="1"/>
  <c r="B77" i="4"/>
  <c r="A60" i="6" s="1"/>
  <c r="B54" i="4"/>
  <c r="A39" i="6" s="1"/>
  <c r="B137" i="4"/>
  <c r="A111" i="6" s="1"/>
  <c r="B89" i="4"/>
  <c r="A71" i="6" s="1"/>
  <c r="C28" i="6"/>
  <c r="B53" i="4"/>
  <c r="A38" i="6" s="1"/>
  <c r="B66" i="4"/>
  <c r="A50" i="6" s="1"/>
  <c r="B115" i="4"/>
  <c r="A94" i="6" s="1"/>
  <c r="B78" i="4"/>
  <c r="A61" i="6" s="1"/>
  <c r="C5" i="6"/>
  <c r="C6" i="6"/>
  <c r="C112" i="6"/>
  <c r="C4" i="6"/>
  <c r="G41" i="4"/>
  <c r="G65" i="4"/>
  <c r="G77" i="4"/>
  <c r="G89" i="4"/>
  <c r="G101" i="4"/>
  <c r="X5" i="5"/>
  <c r="G124" i="6" a="1"/>
  <c r="G124" i="6" s="1"/>
  <c r="H124" i="6" s="1"/>
  <c r="G114" i="4"/>
  <c r="D53" i="4"/>
  <c r="D101" i="4"/>
  <c r="D41" i="4"/>
  <c r="D77" i="4"/>
  <c r="D65" i="4"/>
  <c r="D89" i="4"/>
  <c r="T7" i="5"/>
  <c r="T8" i="5"/>
  <c r="T12" i="5"/>
  <c r="T22" i="5"/>
  <c r="T19" i="5"/>
  <c r="T10" i="5"/>
  <c r="T9" i="5"/>
  <c r="T17" i="5"/>
  <c r="T14" i="5"/>
  <c r="T21" i="5"/>
  <c r="T16" i="5"/>
  <c r="T18" i="5"/>
  <c r="T15" i="5"/>
  <c r="T6" i="5"/>
  <c r="T13" i="5"/>
  <c r="T20" i="5"/>
  <c r="T11" i="5"/>
  <c r="T5" i="5"/>
  <c r="D114" i="6" l="1"/>
  <c r="C118" i="6"/>
  <c r="W43" i="4"/>
  <c r="W46" i="4"/>
  <c r="X46" i="4" s="1"/>
  <c r="W45" i="4"/>
  <c r="Z48" i="4"/>
  <c r="F62" i="6"/>
  <c r="H51" i="6"/>
  <c r="X43" i="4"/>
  <c r="X42" i="4"/>
  <c r="Y42" i="4" s="1"/>
  <c r="F61" i="6"/>
  <c r="H50" i="6"/>
  <c r="K117" i="6"/>
  <c r="D31" i="6"/>
  <c r="C31" i="6"/>
  <c r="F109" i="6"/>
  <c r="H109" i="6" s="1"/>
  <c r="D109" i="6" s="1"/>
  <c r="H53" i="6"/>
  <c r="F64" i="6"/>
  <c r="C20" i="6"/>
  <c r="C117" i="6"/>
  <c r="H41" i="6"/>
  <c r="F52" i="6"/>
  <c r="F100" i="6"/>
  <c r="H100" i="6" s="1"/>
  <c r="F116" i="6"/>
  <c r="H116" i="6" s="1"/>
  <c r="C19" i="6"/>
  <c r="K119" i="6"/>
  <c r="D33" i="6"/>
  <c r="F103" i="6"/>
  <c r="H103" i="6" s="1"/>
  <c r="H44" i="6"/>
  <c r="F55" i="6"/>
  <c r="F119" i="6"/>
  <c r="H119" i="6" s="1"/>
  <c r="F65" i="6"/>
  <c r="H54" i="6"/>
  <c r="C43" i="6"/>
  <c r="C21" i="6"/>
  <c r="C102" i="6"/>
  <c r="F111" i="6"/>
  <c r="H111" i="6" s="1"/>
  <c r="H94" i="6"/>
  <c r="F95" i="6"/>
  <c r="F110" i="6"/>
  <c r="H110" i="6" s="1"/>
  <c r="C39" i="6"/>
  <c r="C108" i="6"/>
  <c r="D124" i="6"/>
  <c r="D50" i="6" l="1"/>
  <c r="C50" i="6"/>
  <c r="AA47" i="4"/>
  <c r="AA48" i="4"/>
  <c r="AB48" i="4" s="1"/>
  <c r="Y46" i="4"/>
  <c r="Z46" i="4" s="1"/>
  <c r="D51" i="6"/>
  <c r="C51" i="6"/>
  <c r="X45" i="4"/>
  <c r="Y45" i="4" s="1"/>
  <c r="X44" i="4"/>
  <c r="H62" i="6"/>
  <c r="F73" i="6"/>
  <c r="F72" i="6"/>
  <c r="H61" i="6"/>
  <c r="C109" i="6"/>
  <c r="F75" i="6"/>
  <c r="H64" i="6"/>
  <c r="D53" i="6"/>
  <c r="C53" i="6"/>
  <c r="D116" i="6"/>
  <c r="C116" i="6"/>
  <c r="D100" i="6"/>
  <c r="C100" i="6"/>
  <c r="H52" i="6"/>
  <c r="F63" i="6"/>
  <c r="D41" i="6"/>
  <c r="C41" i="6"/>
  <c r="D119" i="6"/>
  <c r="C119" i="6"/>
  <c r="F66" i="6"/>
  <c r="H55" i="6"/>
  <c r="D44" i="6"/>
  <c r="C44" i="6"/>
  <c r="D103" i="6"/>
  <c r="C103" i="6"/>
  <c r="D110" i="6"/>
  <c r="C110" i="6"/>
  <c r="H95" i="6"/>
  <c r="F96" i="6"/>
  <c r="H96" i="6" s="1"/>
  <c r="D94" i="6"/>
  <c r="C94" i="6"/>
  <c r="D111" i="6"/>
  <c r="C111" i="6"/>
  <c r="D54" i="6"/>
  <c r="C54" i="6"/>
  <c r="H65" i="6"/>
  <c r="F76" i="6"/>
  <c r="Z45" i="4" l="1"/>
  <c r="D61" i="6"/>
  <c r="C61" i="6"/>
  <c r="F83" i="6"/>
  <c r="H83" i="6" s="1"/>
  <c r="H72" i="6"/>
  <c r="AC48" i="4"/>
  <c r="AB47" i="4"/>
  <c r="AC47" i="4" s="1"/>
  <c r="AB46" i="4"/>
  <c r="F84" i="6"/>
  <c r="H84" i="6" s="1"/>
  <c r="H73" i="6"/>
  <c r="Y43" i="4"/>
  <c r="Y44" i="4"/>
  <c r="Z44" i="4" s="1"/>
  <c r="AA46" i="4"/>
  <c r="AA45" i="4"/>
  <c r="D62" i="6"/>
  <c r="C62" i="6"/>
  <c r="D64" i="6"/>
  <c r="C64" i="6"/>
  <c r="F86" i="6"/>
  <c r="H86" i="6" s="1"/>
  <c r="H75" i="6"/>
  <c r="F74" i="6"/>
  <c r="H63" i="6"/>
  <c r="D52" i="6"/>
  <c r="C52" i="6"/>
  <c r="D55" i="6"/>
  <c r="C55" i="6"/>
  <c r="F77" i="6"/>
  <c r="H66" i="6"/>
  <c r="D95" i="6"/>
  <c r="C95" i="6"/>
  <c r="H76" i="6"/>
  <c r="F87" i="6"/>
  <c r="H87" i="6" s="1"/>
  <c r="D96" i="6"/>
  <c r="C96" i="6"/>
  <c r="D65" i="6"/>
  <c r="C65" i="6"/>
  <c r="AC46" i="4" l="1"/>
  <c r="AC45" i="4"/>
  <c r="D72" i="6"/>
  <c r="C72" i="6"/>
  <c r="D83" i="6"/>
  <c r="C83" i="6"/>
  <c r="Z42" i="4"/>
  <c r="AA42" i="4" s="1"/>
  <c r="Z43" i="4"/>
  <c r="AA44" i="4" s="1"/>
  <c r="AB44" i="4" s="1"/>
  <c r="AB45" i="4"/>
  <c r="D73" i="6"/>
  <c r="C73" i="6"/>
  <c r="D84" i="6"/>
  <c r="C84" i="6"/>
  <c r="D75" i="6"/>
  <c r="C75" i="6"/>
  <c r="D86" i="6"/>
  <c r="C86" i="6"/>
  <c r="D63" i="6"/>
  <c r="C63" i="6"/>
  <c r="F85" i="6"/>
  <c r="H85" i="6" s="1"/>
  <c r="H74" i="6"/>
  <c r="D66" i="6"/>
  <c r="C66" i="6"/>
  <c r="H77" i="6"/>
  <c r="F88" i="6"/>
  <c r="H88" i="6" s="1"/>
  <c r="D87" i="6"/>
  <c r="C87" i="6"/>
  <c r="D76" i="6"/>
  <c r="C76" i="6"/>
  <c r="AA43" i="4" l="1"/>
  <c r="D74" i="6"/>
  <c r="C74" i="6"/>
  <c r="D85" i="6"/>
  <c r="C85" i="6"/>
  <c r="D88" i="6"/>
  <c r="C88" i="6"/>
  <c r="D77" i="6"/>
  <c r="C77" i="6"/>
  <c r="H125" i="6"/>
  <c r="D2" i="6" s="1"/>
  <c r="AB43" i="4" l="1"/>
  <c r="AB42" i="4"/>
  <c r="AC42" i="4" s="1"/>
  <c r="AC44" i="4" l="1"/>
  <c r="AC43" i="4"/>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<sst xmlns="http://schemas.openxmlformats.org/spreadsheetml/2006/main" count="28127" uniqueCount="20060">
  <si>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</si>
  <si>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</si>
  <si>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</si>
  <si>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</si>
  <si>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</si>
  <si>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</si>
  <si>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</si>
  <si>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</si>
  <si>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</si>
  <si>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</si>
  <si>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</si>
  <si>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</si>
  <si>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</si>
  <si>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</si>
  <si>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</si>
  <si>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</si>
  <si>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</si>
  <si>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</si>
  <si>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</si>
  <si>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</si>
  <si>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</si>
  <si>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</si>
  <si>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</si>
  <si>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</si>
  <si>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</si>
  <si>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</si>
  <si>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</si>
  <si>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</si>
  <si>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</si>
  <si>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</si>
  <si>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</si>
  <si>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</si>
  <si>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</si>
  <si>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</si>
  <si>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</si>
  <si>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</si>
  <si>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</si>
  <si>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</si>
  <si>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</si>
  <si>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</si>
  <si>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</si>
  <si>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</si>
  <si>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</si>
  <si>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</si>
  <si>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</si>
  <si>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</si>
  <si>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</si>
  <si>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</si>
  <si>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</si>
  <si>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</si>
  <si>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</si>
  <si>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</si>
  <si>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</si>
  <si>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</si>
  <si>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</si>
  <si>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</si>
  <si>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</si>
  <si>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</si>
  <si>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</si>
  <si>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</si>
  <si>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</si>
  <si>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</si>
  <si>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</si>
  <si>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</si>
  <si>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</si>
  <si>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</si>
  <si>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</si>
  <si>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</si>
  <si>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</si>
  <si>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</si>
  <si>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</si>
  <si>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</si>
  <si>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</si>
  <si>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</si>
  <si>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</si>
  <si>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</si>
  <si>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</si>
  <si>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</si>
  <si>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</si>
  <si>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</si>
  <si>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</si>
  <si>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</si>
  <si>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</si>
  <si>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</si>
  <si>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</si>
  <si>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</si>
  <si>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</si>
  <si>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</si>
  <si>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</si>
  <si>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</si>
  <si>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</si>
  <si>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</si>
  <si>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</si>
  <si>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</si>
  <si>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</si>
  <si>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</si>
  <si>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</si>
  <si>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</si>
  <si>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</si>
  <si>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</si>
  <si>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</si>
  <si>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</si>
  <si>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</si>
  <si>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</si>
  <si>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</si>
  <si>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</si>
  <si>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</si>
  <si>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</si>
  <si>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</si>
  <si>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</si>
  <si>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</si>
  <si>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</si>
  <si>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</si>
  <si>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</si>
  <si>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</si>
  <si>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</si>
  <si>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</si>
  <si>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</si>
  <si>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</si>
  <si>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</si>
  <si>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</si>
  <si>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</si>
  <si>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</si>
  <si>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</si>
  <si>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</si>
  <si>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</si>
  <si>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</si>
  <si>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</si>
  <si>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</si>
  <si>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</si>
  <si>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</si>
  <si>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</si>
  <si>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</si>
  <si>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</si>
  <si>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</si>
  <si>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</si>
  <si>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</si>
  <si>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</si>
  <si>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</si>
  <si>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</si>
  <si>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</si>
  <si>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</si>
  <si>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</si>
  <si>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</si>
  <si>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</si>
  <si>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</si>
  <si>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</si>
  <si>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</si>
  <si>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</si>
  <si>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</si>
  <si>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</si>
  <si>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</si>
  <si>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</si>
  <si>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</si>
  <si>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</si>
  <si>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</si>
  <si>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</si>
  <si>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</si>
  <si>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</si>
  <si>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</si>
  <si>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</si>
  <si>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</si>
  <si>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</si>
  <si>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</si>
  <si>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</si>
  <si>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</si>
  <si>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</si>
  <si>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</si>
  <si>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</si>
  <si>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</si>
  <si>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</si>
  <si>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</si>
  <si>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</si>
  <si>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</si>
  <si>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</si>
  <si>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</si>
  <si>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</si>
  <si>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</si>
  <si>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</si>
  <si>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</si>
  <si>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</si>
  <si>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</si>
  <si>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</si>
  <si>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</si>
  <si>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</si>
  <si>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</si>
  <si>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</si>
  <si>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</si>
  <si>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</si>
  <si>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</si>
  <si>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</si>
  <si>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</si>
  <si>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</si>
  <si>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</si>
  <si>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</si>
  <si>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</si>
  <si>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</si>
  <si>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</si>
  <si>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</si>
  <si>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</si>
  <si>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</si>
  <si>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</si>
  <si>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</si>
  <si>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</si>
  <si>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</si>
  <si>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</si>
  <si>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</si>
  <si>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</si>
  <si>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</si>
  <si>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</si>
  <si>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</si>
  <si>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</si>
  <si>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</si>
  <si>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</si>
  <si>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</si>
  <si>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</si>
  <si>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</si>
  <si>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</si>
  <si>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</si>
  <si>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</si>
  <si>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</si>
  <si>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</si>
  <si>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</si>
  <si>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</si>
  <si>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</si>
  <si>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</si>
  <si>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</si>
  <si>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</si>
  <si>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</si>
  <si>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</si>
  <si>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</si>
  <si>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</si>
  <si>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</si>
  <si>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</si>
  <si>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</si>
  <si>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</si>
  <si>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</si>
  <si>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</si>
  <si>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</si>
  <si>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</si>
  <si>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</si>
  <si>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</si>
  <si>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</si>
  <si>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</si>
  <si>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</si>
  <si>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</si>
  <si>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</si>
  <si>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</si>
  <si>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</si>
  <si>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</si>
  <si>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</si>
  <si>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</si>
  <si>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</si>
  <si>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</si>
  <si>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</si>
  <si>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</si>
  <si>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</si>
  <si>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</si>
  <si>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</si>
  <si>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</si>
  <si>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</si>
  <si>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</si>
  <si>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</si>
  <si>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</si>
  <si>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</si>
  <si>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</si>
  <si>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</si>
  <si>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</si>
  <si>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</si>
  <si>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</si>
  <si>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</si>
  <si>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</si>
  <si>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</si>
  <si>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</si>
  <si>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</si>
  <si>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</si>
  <si>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</si>
  <si>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</si>
  <si>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</si>
  <si>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</si>
  <si>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</si>
  <si>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</si>
  <si>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</si>
  <si>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</si>
  <si>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</si>
  <si>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</si>
  <si>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</si>
  <si>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</si>
  <si>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</si>
  <si>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</si>
  <si>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</si>
  <si>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</si>
  <si>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</si>
  <si>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</si>
  <si>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</si>
  <si>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</si>
  <si>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</si>
  <si>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</si>
  <si>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</si>
  <si>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</si>
  <si>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</si>
  <si>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</si>
  <si>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</si>
  <si>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</si>
  <si>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</si>
  <si>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</si>
  <si>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</si>
  <si>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</si>
  <si>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</si>
  <si>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</si>
  <si>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</si>
  <si>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</si>
  <si>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</si>
  <si>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</si>
  <si>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</si>
  <si>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</si>
  <si>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</si>
  <si>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</si>
  <si>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</si>
  <si>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</si>
  <si>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</si>
  <si>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</si>
  <si>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</si>
  <si>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</si>
  <si>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</si>
  <si>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</si>
  <si>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</si>
  <si>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</si>
  <si>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</si>
  <si>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</si>
  <si>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</si>
  <si>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</si>
  <si>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</si>
  <si>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</si>
  <si>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</si>
  <si>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</si>
  <si>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</si>
  <si>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</si>
  <si>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</si>
  <si>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</si>
  <si>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</si>
  <si>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</si>
  <si>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</si>
  <si>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</si>
  <si>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</si>
  <si>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</si>
  <si>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</si>
  <si>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</si>
  <si>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</si>
  <si>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</si>
  <si>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</si>
  <si>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</si>
  <si>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</si>
  <si>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</si>
  <si>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</si>
  <si>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</si>
  <si>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</si>
  <si>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</si>
  <si>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</si>
  <si>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</si>
  <si>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</si>
  <si>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</si>
  <si>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</si>
  <si>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</si>
  <si>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</si>
  <si>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</si>
  <si>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</si>
  <si>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</si>
  <si>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</si>
  <si>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</si>
  <si>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</si>
  <si>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</si>
  <si>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</si>
  <si>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</si>
  <si>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</si>
  <si>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</si>
  <si>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</si>
  <si>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</si>
  <si>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</si>
  <si>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</si>
  <si>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</si>
  <si>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</si>
  <si>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</si>
  <si>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</si>
  <si>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</si>
  <si>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</si>
  <si>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</si>
  <si>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</si>
  <si>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</si>
  <si>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</si>
  <si>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</si>
  <si>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</si>
  <si>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</si>
  <si>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</si>
  <si>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</si>
  <si>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</si>
  <si>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</si>
  <si>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</si>
  <si>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</si>
  <si>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</si>
  <si>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</si>
  <si>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</si>
  <si>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</si>
  <si>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</si>
  <si>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</si>
  <si>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</si>
  <si>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</si>
  <si>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</si>
  <si>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</si>
  <si>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</si>
  <si>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</si>
  <si>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</si>
  <si>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</si>
  <si>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</si>
  <si>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</si>
  <si>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</si>
  <si>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</si>
  <si>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</si>
  <si>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</si>
  <si>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</si>
  <si>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</si>
  <si>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</si>
  <si>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</si>
  <si>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</si>
  <si>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</si>
  <si>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</si>
  <si>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</si>
  <si>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</si>
  <si>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</si>
  <si>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</si>
  <si>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</si>
  <si>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</si>
  <si>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</si>
  <si>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</si>
  <si>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</si>
  <si>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</si>
  <si>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</si>
  <si>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</si>
  <si>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</si>
  <si>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</si>
  <si>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</si>
  <si>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</si>
  <si>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</si>
  <si>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</si>
  <si>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</si>
  <si>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</si>
  <si>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</si>
  <si>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</si>
  <si>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</si>
  <si>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</si>
  <si>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</si>
  <si>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</si>
  <si>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</si>
  <si>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</si>
  <si>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</si>
  <si>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</si>
  <si>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</si>
  <si>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</si>
  <si>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</si>
  <si>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</si>
  <si>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</si>
  <si>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</si>
  <si>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</si>
  <si>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</si>
  <si>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</si>
  <si>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</si>
  <si>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</si>
  <si>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</si>
  <si>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</si>
  <si>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</si>
  <si>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</si>
  <si>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</si>
  <si>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</si>
  <si>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</si>
  <si>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</si>
  <si>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</si>
  <si>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</si>
  <si>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</si>
  <si>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</si>
  <si>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</si>
  <si>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</si>
  <si>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</si>
  <si>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</si>
  <si>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</si>
  <si>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</si>
  <si>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</si>
  <si>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</si>
  <si>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</si>
  <si>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</si>
  <si>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</si>
  <si>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</si>
  <si>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</si>
  <si>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</si>
  <si>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</si>
  <si>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</si>
  <si>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</si>
  <si>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</si>
  <si>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</si>
  <si>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</si>
  <si>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</si>
  <si>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</si>
  <si>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</si>
  <si>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</si>
  <si>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</si>
  <si>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</si>
  <si>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</si>
  <si>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</si>
  <si>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</si>
  <si>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</si>
  <si>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</si>
  <si>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</si>
  <si>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</si>
  <si>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</si>
  <si>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</si>
  <si>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</si>
  <si>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</si>
  <si>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</si>
  <si>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</si>
  <si>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</si>
  <si>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</si>
  <si>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</si>
  <si>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</si>
  <si>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</si>
  <si>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</si>
  <si>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</si>
  <si>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</si>
  <si>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</si>
  <si>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</si>
  <si>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</si>
  <si>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</si>
  <si>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</si>
  <si>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</si>
  <si>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</si>
  <si>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</si>
  <si>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</si>
  <si>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</si>
  <si>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</si>
  <si>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</si>
  <si>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</si>
  <si>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</si>
  <si>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</si>
  <si>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</si>
  <si>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</si>
  <si>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</si>
  <si>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</si>
  <si>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</si>
  <si>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</si>
  <si>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</si>
  <si>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</si>
  <si>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</si>
  <si>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</si>
  <si>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</si>
  <si>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</si>
  <si>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</si>
  <si>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</si>
  <si>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</si>
  <si>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</si>
  <si>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</si>
  <si>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</si>
  <si>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</si>
  <si>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</si>
  <si>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</si>
  <si>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</si>
  <si>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</si>
  <si>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</si>
  <si>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</si>
  <si>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</si>
  <si>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</si>
  <si>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</si>
  <si>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</si>
  <si>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</si>
  <si>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</si>
  <si>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</si>
  <si>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</si>
  <si>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</si>
  <si>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</si>
  <si>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</si>
  <si>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</si>
  <si>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</si>
  <si>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</si>
  <si>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</si>
  <si>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</si>
  <si>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</si>
  <si>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</si>
  <si>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</si>
  <si>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</si>
  <si>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</si>
  <si>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</si>
  <si>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</si>
  <si>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</si>
  <si>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</si>
  <si>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</si>
  <si>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</si>
  <si>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</si>
  <si>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</si>
  <si>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</si>
  <si>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</si>
  <si>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</si>
  <si>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</si>
  <si>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</si>
  <si>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</si>
  <si>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</si>
  <si>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</si>
  <si>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</si>
  <si>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</si>
  <si>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</si>
  <si>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</si>
  <si>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</si>
  <si>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</si>
  <si>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</si>
  <si>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</si>
  <si>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</si>
  <si>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</si>
  <si>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</si>
  <si>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</si>
  <si>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</si>
  <si>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</si>
  <si>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</si>
  <si>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</si>
  <si>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</si>
  <si>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</si>
  <si>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</si>
  <si>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</si>
  <si>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</si>
  <si>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</si>
  <si>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</si>
  <si>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</si>
  <si>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</si>
  <si>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</si>
  <si>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</si>
  <si>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</si>
  <si>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</si>
  <si>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</si>
  <si>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</si>
  <si>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</si>
  <si>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</si>
  <si>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</si>
  <si>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</si>
  <si>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</si>
  <si>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</si>
  <si>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</si>
  <si>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</si>
  <si>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</si>
  <si>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</si>
  <si>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</si>
  <si>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</si>
  <si>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</si>
  <si>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</si>
  <si>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</si>
  <si>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</si>
  <si>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</si>
  <si>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</si>
  <si>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</si>
  <si>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</si>
  <si>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</si>
  <si>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</si>
  <si>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</si>
  <si>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</si>
  <si>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</si>
  <si>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</si>
  <si>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</si>
  <si>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</si>
  <si>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</si>
  <si>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</si>
  <si>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</si>
  <si>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</si>
  <si>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</si>
  <si>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</si>
  <si>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</si>
  <si>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</si>
  <si>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</si>
  <si>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</si>
  <si>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</si>
  <si>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</si>
  <si>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</si>
  <si>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</si>
  <si>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</si>
  <si>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</si>
  <si>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</si>
  <si>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</si>
  <si>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</si>
  <si>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</si>
  <si>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</si>
  <si>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</si>
  <si>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</si>
  <si>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</si>
  <si>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</si>
  <si>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</si>
  <si>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</si>
  <si>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</si>
  <si>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</si>
  <si>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</si>
  <si>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</si>
  <si>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</si>
  <si>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</si>
  <si>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</si>
  <si>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</si>
  <si>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</si>
  <si>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</si>
  <si>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</si>
  <si>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</si>
  <si>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</si>
  <si>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</si>
  <si>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</si>
  <si>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</si>
  <si>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</si>
  <si>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</si>
  <si>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</si>
  <si>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</si>
  <si>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</si>
  <si>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</si>
  <si>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</si>
  <si>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</si>
  <si>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</si>
  <si>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</si>
  <si>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</si>
  <si>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</si>
  <si>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</si>
  <si>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</si>
  <si>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</si>
  <si>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</si>
  <si>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</si>
  <si>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</si>
  <si>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</si>
  <si>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</si>
  <si>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</si>
  <si>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</si>
  <si>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</si>
  <si>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</si>
  <si>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</si>
  <si>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</si>
  <si>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</si>
  <si>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</si>
  <si>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</si>
  <si>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</si>
  <si>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</si>
  <si>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</si>
  <si>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</si>
  <si>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</si>
  <si>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</si>
  <si>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</si>
  <si>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</si>
  <si>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</si>
  <si>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</si>
  <si>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</si>
  <si>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</si>
  <si>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</si>
  <si>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</si>
  <si>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</si>
  <si>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</si>
  <si>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</si>
  <si>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</si>
  <si>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</si>
  <si>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</si>
  <si>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</si>
  <si>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</si>
  <si>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</si>
  <si>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</si>
  <si>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</si>
  <si>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</si>
  <si>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</si>
  <si>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</si>
  <si>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</si>
  <si>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</si>
  <si>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</si>
  <si>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</si>
  <si>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</si>
  <si>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</si>
  <si>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</si>
  <si>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</si>
  <si>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</si>
  <si>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</si>
  <si>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</si>
  <si>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</si>
  <si>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</si>
  <si>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</si>
  <si>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</si>
  <si>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</si>
  <si>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</si>
  <si>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</si>
  <si>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</si>
  <si>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</si>
  <si>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</si>
  <si>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</si>
  <si>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</si>
  <si>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</si>
  <si>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</si>
  <si>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</si>
  <si>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</si>
  <si>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</si>
  <si>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</si>
  <si>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</si>
  <si>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</si>
  <si>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</si>
  <si>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</si>
  <si>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</si>
  <si>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</si>
  <si>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</si>
  <si>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</si>
  <si>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</si>
  <si>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</si>
  <si>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</si>
  <si>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</si>
  <si>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</si>
  <si>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</si>
  <si>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</si>
  <si>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</si>
  <si>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</si>
  <si>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</si>
  <si>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</si>
  <si>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</si>
  <si>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</si>
  <si>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</si>
  <si>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</si>
  <si>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</si>
  <si>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</si>
  <si>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</si>
  <si>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</si>
  <si>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</si>
  <si>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</si>
  <si>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</si>
  <si>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</si>
  <si>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</si>
  <si>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</si>
  <si>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</si>
  <si>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</si>
  <si>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</si>
  <si>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</si>
  <si>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</si>
  <si>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</si>
  <si>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</si>
  <si>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</si>
  <si>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</si>
  <si>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</si>
  <si>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</si>
  <si>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</si>
  <si>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</si>
  <si>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</si>
  <si>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</si>
  <si>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</si>
  <si>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</si>
  <si>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</si>
  <si>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</si>
  <si>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</si>
  <si>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</si>
  <si>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</si>
  <si>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</si>
  <si>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</si>
  <si>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</si>
  <si>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</si>
  <si>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</si>
  <si>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</si>
  <si>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</si>
  <si>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</si>
  <si>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</si>
  <si>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</si>
  <si>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</si>
  <si>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</si>
  <si>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</si>
  <si>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</si>
  <si>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</si>
  <si>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</si>
  <si>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</si>
  <si>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</si>
  <si>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</si>
  <si>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</si>
  <si>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</si>
  <si>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</si>
  <si>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</si>
  <si>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</si>
  <si>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</si>
  <si>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</si>
  <si>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</si>
  <si>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</si>
  <si>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</si>
  <si>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</si>
  <si>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</si>
  <si>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</si>
  <si>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</si>
  <si>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</si>
  <si>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</si>
  <si>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</si>
  <si>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</si>
  <si>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</si>
  <si>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</si>
  <si>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</si>
  <si>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</si>
  <si>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</si>
  <si>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</si>
  <si>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</si>
  <si>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</si>
  <si>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</si>
  <si>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</si>
  <si>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</si>
  <si>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</si>
  <si>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</si>
  <si>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</si>
  <si>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</si>
  <si>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</si>
  <si>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</si>
  <si>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</si>
  <si>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</si>
  <si>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</si>
  <si>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</si>
  <si>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</si>
  <si>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</si>
  <si>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</si>
  <si>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</si>
  <si>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</si>
  <si>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</si>
  <si>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</si>
  <si>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</si>
  <si>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</si>
  <si>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</si>
  <si>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</si>
  <si>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</si>
  <si>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</si>
  <si>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</si>
  <si>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</si>
  <si>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</si>
  <si>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</si>
  <si>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</si>
  <si>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</si>
  <si>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</si>
  <si>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</si>
  <si>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</si>
  <si>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</si>
  <si>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</si>
  <si>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</si>
  <si>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</si>
  <si>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</si>
  <si>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</si>
  <si>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</si>
  <si>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</si>
  <si>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</si>
  <si>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</si>
  <si>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</si>
  <si>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</si>
  <si>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</si>
  <si>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</si>
  <si>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</si>
  <si>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</si>
  <si>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</si>
  <si>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</si>
  <si>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</si>
  <si>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</si>
  <si>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</si>
  <si>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</si>
  <si>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</si>
  <si>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</si>
  <si>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</si>
  <si>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</si>
  <si>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</si>
  <si>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</si>
  <si>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</si>
  <si>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</si>
  <si>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</si>
  <si>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</si>
  <si>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</si>
  <si>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</si>
  <si>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</si>
  <si>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</si>
  <si>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</si>
  <si>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</si>
  <si>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</si>
  <si>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</si>
  <si>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</si>
  <si>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</si>
  <si>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</si>
  <si>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</si>
  <si>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</si>
  <si>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</si>
  <si>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</si>
  <si>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</si>
  <si>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</si>
  <si>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</si>
  <si>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</si>
  <si>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</si>
  <si>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</si>
  <si>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</si>
  <si>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</si>
  <si>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</si>
  <si>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</si>
  <si>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</si>
  <si>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</si>
  <si>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</si>
  <si>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</si>
  <si>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</si>
  <si>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</si>
  <si>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</si>
  <si>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</si>
  <si>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</si>
  <si>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</si>
  <si>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</si>
  <si>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</si>
  <si>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</si>
  <si>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</si>
  <si>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</si>
  <si>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</si>
  <si>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</si>
  <si>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</si>
  <si>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</si>
  <si>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</si>
  <si>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</si>
  <si>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</si>
  <si>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</si>
  <si>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</si>
  <si>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</si>
  <si>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</si>
  <si>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</si>
  <si>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</si>
  <si>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</si>
  <si>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</si>
  <si>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</si>
  <si>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</si>
  <si>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</si>
  <si>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</si>
  <si>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</si>
  <si>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</si>
  <si>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</si>
  <si>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</si>
  <si>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</si>
  <si>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</si>
  <si>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</si>
  <si>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</si>
  <si>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</si>
  <si>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</si>
  <si>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</si>
  <si>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</si>
  <si>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</si>
  <si>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</si>
  <si>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</si>
  <si>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</si>
  <si>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</si>
  <si>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</si>
  <si>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</si>
  <si>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</si>
  <si>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</si>
  <si>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</si>
  <si>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</si>
  <si>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</si>
  <si>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</si>
  <si>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</si>
  <si>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</si>
  <si>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</si>
  <si>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</si>
  <si>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</si>
  <si>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</si>
  <si>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</si>
  <si>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</si>
  <si>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</si>
  <si>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</si>
  <si>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</si>
  <si>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</si>
  <si>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</si>
  <si>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</si>
  <si>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</si>
  <si>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</si>
  <si>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</si>
  <si>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</si>
  <si>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</si>
  <si>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</si>
  <si>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</si>
  <si>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</si>
  <si>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</si>
  <si>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</si>
  <si>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</si>
  <si>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</si>
  <si>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</si>
  <si>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</si>
  <si>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</si>
  <si>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</si>
  <si>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</si>
  <si>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</si>
  <si>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</si>
  <si>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</si>
  <si>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</si>
  <si>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</si>
  <si>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</si>
  <si>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</si>
  <si>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</si>
  <si>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</si>
  <si>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</si>
  <si>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</si>
  <si>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</si>
  <si>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</si>
  <si>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</si>
  <si>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</si>
  <si>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</si>
  <si>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</si>
  <si>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</si>
  <si>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</si>
  <si>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</si>
  <si>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</si>
  <si>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</si>
  <si>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</si>
  <si>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</si>
  <si>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</si>
  <si>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</si>
  <si>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</si>
  <si>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</si>
  <si>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</si>
  <si>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</si>
  <si>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</si>
  <si>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</si>
  <si>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</si>
  <si>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</si>
  <si>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</si>
  <si>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</si>
  <si>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</si>
  <si>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</si>
  <si>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</si>
  <si>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</si>
  <si>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</si>
  <si>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</si>
  <si>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</si>
  <si>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</si>
  <si>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</si>
  <si>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</si>
  <si>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</si>
  <si>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</si>
  <si>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</si>
  <si>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</si>
  <si>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</si>
  <si>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</si>
  <si>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</si>
  <si>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</si>
  <si>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</si>
  <si>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</si>
  <si>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</si>
  <si>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</si>
  <si>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</si>
  <si>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</si>
  <si>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</si>
  <si>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</si>
  <si>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</si>
  <si>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</si>
  <si>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</si>
  <si>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</si>
  <si>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</si>
  <si>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</si>
  <si>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</si>
  <si>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</si>
  <si>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</si>
  <si>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</si>
  <si>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</si>
  <si>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</si>
  <si>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</si>
  <si>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</si>
  <si>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</si>
  <si>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</si>
  <si>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</si>
  <si>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</si>
  <si>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</si>
  <si>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</si>
  <si>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</si>
  <si>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</si>
  <si>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</si>
  <si>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</si>
  <si>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</si>
  <si>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</si>
  <si>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</si>
  <si>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</si>
  <si>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</si>
  <si>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</si>
  <si>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</si>
  <si>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</si>
  <si>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</si>
  <si>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</si>
  <si>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</si>
  <si>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</si>
  <si>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</si>
  <si>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</si>
  <si>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</si>
  <si>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</si>
  <si>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</si>
  <si>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</si>
  <si>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</si>
  <si>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</si>
  <si>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</si>
  <si>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</si>
  <si>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</si>
  <si>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</si>
  <si>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</si>
  <si>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</si>
  <si>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</si>
  <si>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</si>
  <si>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</si>
  <si>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</si>
  <si>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</si>
  <si>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</si>
  <si>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</si>
  <si>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</si>
  <si>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</si>
  <si>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</si>
  <si>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</si>
  <si>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</si>
  <si>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</si>
  <si>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</si>
  <si>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</si>
  <si>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</si>
  <si>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</si>
  <si>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</si>
  <si>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</si>
  <si>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</si>
  <si>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</si>
  <si>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</si>
  <si>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</si>
  <si>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</si>
  <si>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</si>
  <si>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</si>
  <si>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</si>
  <si>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</si>
  <si>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</si>
  <si>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</si>
  <si>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</si>
  <si>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</si>
  <si>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</si>
  <si>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</si>
  <si>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</si>
  <si>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</si>
  <si>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</si>
  <si>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</si>
  <si>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</si>
  <si>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</si>
  <si>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</si>
  <si>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</si>
  <si>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</si>
  <si>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</si>
  <si>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</si>
  <si>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</si>
  <si>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</si>
  <si>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</si>
  <si>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</si>
  <si>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</si>
  <si>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</si>
  <si>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</si>
  <si>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</si>
  <si>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</si>
  <si>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</si>
  <si>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</si>
  <si>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</si>
  <si>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</si>
  <si>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</si>
  <si>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</si>
  <si>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</si>
  <si>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</si>
  <si>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</si>
  <si>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</si>
  <si>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</si>
  <si>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</si>
  <si>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</si>
  <si>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</si>
  <si>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</si>
  <si>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</si>
  <si>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</si>
  <si>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</si>
  <si>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</si>
  <si>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</si>
  <si>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</si>
  <si>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</si>
  <si>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</si>
  <si>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</si>
  <si>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</si>
  <si>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</si>
  <si>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</si>
  <si>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</si>
  <si>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</si>
  <si>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</si>
  <si>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</si>
  <si>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</si>
  <si>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</si>
  <si>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</si>
  <si>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</si>
  <si>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</si>
  <si>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</si>
  <si>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</si>
  <si>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</si>
  <si>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</si>
  <si>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</si>
  <si>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</si>
  <si>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</si>
  <si>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</si>
  <si>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</si>
  <si>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</si>
  <si>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</si>
  <si>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</si>
  <si>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</si>
  <si>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</si>
  <si>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</si>
  <si>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</si>
  <si>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</si>
  <si>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</si>
  <si>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</si>
  <si>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</si>
  <si>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</si>
  <si>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</si>
  <si>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</si>
  <si>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</si>
  <si>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</si>
  <si>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</si>
  <si>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</si>
  <si>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</si>
  <si>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</si>
  <si>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</si>
  <si>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</si>
  <si>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</si>
  <si>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</si>
  <si>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</si>
  <si>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</si>
  <si>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</si>
  <si>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</si>
  <si>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</si>
  <si>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</si>
  <si>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</si>
  <si>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</si>
  <si>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</si>
  <si>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</si>
  <si>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</si>
  <si>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</si>
  <si>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</si>
  <si>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</si>
  <si>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</si>
  <si>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</si>
  <si>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</si>
  <si>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</si>
  <si>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</si>
  <si>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</si>
  <si>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</si>
  <si>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</si>
  <si>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</si>
  <si>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</si>
  <si>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</si>
  <si>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</si>
  <si>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</si>
  <si>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</si>
  <si>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</si>
  <si>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</si>
  <si>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</si>
  <si>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</si>
  <si>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</si>
  <si>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</si>
  <si>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</si>
  <si>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</si>
  <si>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</si>
  <si>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</si>
  <si>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</si>
  <si>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</si>
  <si>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</si>
  <si>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</si>
  <si>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</si>
  <si>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</si>
  <si>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</si>
  <si>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</si>
  <si>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</si>
  <si>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</si>
  <si>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</si>
  <si>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</si>
  <si>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</si>
  <si>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</si>
  <si>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</si>
  <si>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</si>
  <si>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</si>
  <si>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</si>
  <si>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</si>
  <si>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</si>
  <si>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</si>
  <si>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</si>
  <si>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</si>
  <si>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</si>
  <si>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</si>
  <si>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</si>
  <si>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</si>
  <si>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</si>
  <si>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</si>
  <si>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</si>
  <si>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</si>
  <si>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</si>
  <si>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</si>
  <si>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</si>
  <si>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</si>
  <si>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</si>
  <si>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</si>
  <si>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</si>
  <si>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</si>
  <si>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</si>
  <si>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</si>
  <si>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</si>
  <si>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</si>
  <si>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</si>
  <si>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</si>
  <si>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</si>
  <si>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</si>
  <si>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</si>
  <si>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</si>
  <si>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</si>
  <si>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</si>
  <si>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</si>
  <si>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</si>
  <si>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</si>
  <si>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</si>
  <si>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</si>
  <si>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</si>
  <si>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</si>
  <si>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</si>
  <si>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</si>
  <si>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</si>
  <si>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</si>
  <si>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</si>
  <si>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</si>
  <si>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</si>
  <si>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</si>
  <si>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</si>
  <si>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</si>
  <si>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</si>
  <si>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</si>
  <si>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</si>
  <si>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</si>
  <si>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</si>
  <si>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</si>
  <si>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</si>
  <si>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</si>
  <si>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</si>
  <si>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</si>
  <si>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</si>
  <si>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</si>
  <si>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</si>
  <si>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</si>
  <si>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</si>
  <si>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</si>
  <si>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</si>
  <si>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</si>
  <si>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</si>
  <si>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</si>
  <si>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</si>
  <si>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</si>
  <si>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</si>
  <si>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</si>
  <si>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</si>
  <si>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</si>
  <si>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</si>
  <si>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</si>
  <si>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</si>
  <si>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</si>
  <si>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</si>
  <si>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</si>
  <si>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</si>
  <si>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</si>
  <si>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</si>
  <si>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</si>
  <si>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</si>
  <si>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</si>
  <si>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</si>
  <si>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</si>
  <si>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</si>
  <si>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</si>
  <si>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</si>
  <si>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</si>
  <si>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</si>
  <si>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</si>
  <si>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</si>
  <si>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</si>
  <si>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</si>
  <si>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</si>
  <si>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</si>
  <si>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</si>
  <si>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</si>
  <si>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</si>
  <si>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</si>
  <si>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</si>
  <si>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</si>
  <si>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</si>
  <si>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</si>
  <si>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</si>
  <si>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</si>
  <si>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</si>
  <si>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</si>
  <si>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</si>
  <si>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</si>
  <si>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</si>
  <si>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</si>
  <si>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</si>
  <si>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</si>
  <si>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</si>
  <si>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</si>
  <si>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</si>
  <si>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</si>
  <si>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</si>
  <si>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</si>
  <si>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</si>
  <si>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</si>
  <si>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</si>
  <si>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</si>
  <si>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</si>
  <si>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</si>
  <si>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</si>
  <si>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</si>
  <si>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</si>
  <si>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</si>
  <si>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</si>
  <si>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</si>
  <si>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</si>
  <si>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</si>
  <si>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</si>
  <si>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</si>
  <si>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</si>
  <si>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</si>
  <si>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</si>
  <si>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</si>
  <si>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</si>
  <si>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</si>
  <si>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</si>
  <si>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</si>
  <si>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</si>
  <si>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</si>
  <si>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</si>
  <si>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</si>
  <si>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</si>
  <si>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</si>
  <si>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</si>
  <si>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</si>
  <si>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</si>
  <si>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</si>
  <si>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</si>
  <si>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</si>
  <si>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</si>
  <si>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</si>
  <si>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</si>
  <si>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</si>
  <si>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</si>
  <si>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</si>
  <si>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</si>
  <si>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</si>
  <si>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</si>
  <si>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</si>
  <si>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</si>
  <si>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</si>
  <si>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</si>
  <si>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</si>
  <si>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</si>
  <si>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</si>
  <si>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</si>
  <si>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</si>
  <si>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</si>
  <si>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</si>
  <si>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</si>
  <si>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</si>
  <si>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</si>
  <si>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</si>
  <si>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</si>
  <si>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</si>
  <si>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</si>
  <si>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</si>
  <si>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</si>
  <si>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</si>
  <si>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</si>
  <si>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</si>
  <si>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</si>
  <si>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</si>
  <si>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</si>
  <si>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</si>
  <si>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</si>
  <si>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</si>
  <si>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</si>
  <si>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</si>
  <si>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</si>
  <si>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</si>
  <si>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</si>
  <si>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</si>
  <si>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</si>
  <si>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</si>
  <si>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</si>
  <si>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</si>
  <si>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</si>
  <si>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</si>
  <si>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</si>
  <si>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</si>
  <si>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</si>
  <si>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</si>
  <si>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</si>
  <si>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</si>
  <si>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</si>
  <si>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</si>
  <si>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</si>
  <si>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</si>
  <si>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</si>
  <si>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</si>
  <si>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</si>
  <si>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</si>
  <si>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</si>
  <si>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</si>
  <si>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</si>
  <si>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</si>
  <si>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</si>
  <si>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</si>
  <si>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</si>
  <si>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</si>
  <si>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</si>
  <si>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</si>
  <si>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</si>
  <si>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</si>
  <si>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</si>
  <si>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</si>
  <si>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</si>
  <si>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</si>
  <si>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</si>
  <si>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</si>
  <si>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</si>
  <si>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</si>
  <si>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</si>
  <si>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</si>
  <si>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</si>
  <si>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</si>
  <si>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</si>
  <si>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</si>
  <si>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</si>
  <si>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</si>
  <si>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</si>
  <si>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</si>
  <si>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</si>
  <si>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</si>
  <si>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</si>
  <si>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</si>
  <si>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</si>
  <si>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</si>
  <si>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</si>
  <si>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</si>
  <si>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</si>
  <si>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</si>
  <si>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</si>
  <si>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</si>
  <si>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</si>
  <si>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</si>
  <si>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</si>
  <si>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</si>
  <si>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</si>
  <si>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</si>
  <si>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</si>
  <si>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</si>
  <si>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</si>
  <si>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</si>
  <si>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</si>
  <si>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</si>
  <si>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</si>
  <si>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</si>
  <si>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</si>
  <si>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</si>
  <si>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</si>
  <si>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</si>
  <si>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</si>
  <si>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</si>
  <si>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</si>
  <si>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</si>
  <si>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</si>
  <si>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</si>
  <si>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</si>
  <si>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</si>
  <si>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</si>
  <si>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</si>
  <si>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</si>
  <si>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</si>
  <si>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</si>
  <si>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</si>
  <si>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</si>
  <si>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</si>
  <si>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</si>
  <si>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</si>
  <si>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</si>
  <si>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</si>
  <si>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</si>
  <si>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</si>
  <si>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</si>
  <si>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</si>
  <si>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</si>
  <si>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</si>
  <si>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</si>
  <si>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</si>
  <si>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</si>
  <si>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</si>
  <si>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</si>
  <si>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</si>
  <si>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</si>
  <si>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</si>
  <si>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</si>
  <si>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</si>
  <si>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</si>
  <si>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</si>
  <si>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</si>
  <si>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</si>
  <si>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</si>
  <si>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</si>
  <si>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</si>
  <si>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</si>
  <si>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</si>
  <si>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</si>
  <si>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</si>
  <si>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</si>
  <si>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</si>
  <si>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</si>
  <si>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</si>
  <si>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</si>
  <si>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</si>
  <si>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</si>
  <si>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</si>
  <si>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</si>
  <si>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</si>
  <si>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</si>
  <si>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</si>
  <si>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</si>
  <si>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</si>
  <si>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</si>
  <si>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</si>
  <si>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</si>
  <si>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</si>
  <si>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</si>
  <si>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</si>
  <si>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</si>
  <si>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</si>
  <si>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</si>
  <si>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</si>
  <si>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</si>
  <si>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</si>
  <si>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</si>
  <si>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</si>
  <si>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</si>
  <si>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</si>
  <si>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</si>
  <si>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</si>
  <si>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</si>
  <si>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</si>
  <si>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</si>
  <si>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</si>
  <si>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</si>
  <si>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</si>
  <si>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</si>
  <si>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</si>
  <si>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</si>
  <si>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</si>
  <si>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</si>
  <si>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</si>
  <si>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</si>
  <si>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</si>
  <si>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</si>
  <si>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</si>
  <si>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</si>
  <si>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</si>
  <si>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</si>
  <si>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</si>
  <si>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</si>
  <si>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</si>
  <si>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</si>
  <si>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</si>
  <si>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</si>
  <si>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</si>
  <si>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</si>
  <si>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</si>
  <si>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</si>
  <si>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</si>
  <si>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</si>
  <si>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</si>
  <si>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</si>
  <si>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</si>
  <si>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</si>
  <si>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</si>
  <si>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</si>
  <si>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</si>
  <si>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</si>
  <si>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</si>
  <si>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</si>
  <si>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</si>
  <si>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</si>
  <si>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</si>
  <si>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</si>
  <si>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</si>
  <si>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</si>
  <si>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</si>
  <si>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</si>
  <si>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</si>
  <si>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</si>
  <si>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</si>
  <si>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</si>
  <si>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</si>
  <si>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</si>
  <si>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</si>
  <si>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</si>
  <si>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</si>
  <si>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</si>
  <si>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</si>
  <si>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</si>
  <si>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</si>
  <si>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</si>
  <si>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</si>
  <si>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</si>
  <si>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</si>
  <si>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</si>
  <si>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</si>
  <si>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</si>
  <si>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</si>
  <si>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</si>
  <si>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</si>
  <si>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</si>
  <si>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</si>
  <si>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</si>
  <si>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</si>
  <si>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</si>
  <si>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</si>
  <si>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</si>
  <si>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</si>
  <si>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</si>
  <si>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</si>
  <si>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</si>
  <si>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</si>
  <si>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</si>
  <si>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</si>
  <si>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</si>
  <si>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</si>
  <si>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</si>
  <si>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</si>
  <si>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</si>
  <si>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</si>
  <si>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</si>
  <si>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</si>
  <si>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</si>
  <si>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</si>
  <si>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</si>
  <si>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</si>
  <si>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</si>
  <si>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</si>
  <si>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</si>
  <si>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</si>
  <si>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</si>
  <si>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</si>
  <si>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</si>
  <si>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</si>
  <si>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</si>
  <si>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</si>
  <si>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</si>
  <si>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</si>
  <si>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</si>
  <si>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</si>
  <si>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</si>
  <si>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</si>
  <si>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</si>
  <si>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</si>
  <si>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</si>
  <si>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</si>
  <si>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</si>
  <si>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</si>
  <si>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</si>
  <si>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</si>
  <si>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</si>
  <si>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</si>
  <si>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</si>
  <si>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</si>
  <si>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</si>
  <si>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</si>
  <si>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</si>
  <si>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</si>
  <si>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</si>
  <si>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</si>
  <si>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</si>
  <si>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</si>
  <si>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</si>
  <si>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</si>
  <si>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</si>
  <si>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</si>
  <si>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</si>
  <si>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</si>
  <si>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</si>
  <si>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</si>
  <si>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</si>
  <si>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</si>
  <si>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</si>
  <si>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</si>
  <si>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</si>
  <si>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</si>
  <si>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</si>
  <si>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</si>
  <si>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</si>
  <si>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</si>
  <si>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</si>
  <si>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</si>
  <si>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</si>
  <si>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</si>
  <si>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</si>
  <si>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</si>
  <si>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</si>
  <si>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</si>
  <si>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</si>
  <si>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</si>
  <si>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</si>
  <si>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</si>
  <si>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</si>
  <si>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</si>
  <si>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</si>
  <si>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</si>
  <si>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</si>
  <si>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</si>
  <si>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</si>
  <si>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</si>
  <si>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</si>
  <si>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</si>
  <si>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</si>
  <si>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</si>
  <si>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</si>
  <si>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</si>
  <si>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</si>
  <si>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</si>
  <si>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</si>
  <si>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</si>
  <si>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</si>
  <si>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</si>
  <si>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</si>
  <si>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</si>
  <si>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</si>
  <si>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</si>
  <si>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</si>
  <si>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</si>
  <si>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</si>
  <si>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</si>
  <si>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</si>
  <si>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</si>
  <si>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</si>
  <si>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</si>
  <si>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</si>
  <si>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</si>
  <si>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</si>
  <si>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</si>
  <si>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</si>
  <si>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</si>
  <si>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</si>
  <si>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</si>
  <si>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</si>
  <si>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</si>
  <si>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</si>
  <si>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</si>
  <si>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</si>
  <si>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</si>
  <si>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</si>
  <si>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</si>
  <si>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</si>
  <si>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</si>
  <si>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</si>
  <si>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</si>
  <si>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</si>
  <si>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</si>
  <si>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</si>
  <si>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</si>
  <si>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</si>
  <si>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</si>
  <si>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</si>
  <si>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</si>
  <si>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</si>
  <si>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</si>
  <si>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</si>
  <si>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</si>
  <si>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</si>
  <si>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</si>
  <si>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</si>
  <si>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</si>
  <si>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</si>
  <si>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</si>
  <si>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</si>
  <si>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</si>
  <si>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</si>
  <si>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</si>
  <si>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</si>
  <si>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</si>
  <si>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</si>
  <si>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</si>
  <si>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</si>
  <si>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</si>
  <si>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</si>
  <si>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</si>
  <si>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</si>
  <si>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</si>
  <si>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</si>
  <si>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</si>
  <si>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</si>
  <si>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</si>
  <si>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</si>
  <si>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</si>
  <si>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</si>
  <si>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</si>
  <si>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</si>
  <si>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</si>
  <si>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</si>
  <si>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</si>
  <si>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</si>
  <si>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</si>
  <si>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</si>
  <si>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</si>
  <si>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</si>
  <si>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</si>
  <si>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</si>
  <si>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</si>
  <si>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</si>
  <si>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</si>
  <si>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</si>
  <si>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</si>
  <si>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</si>
  <si>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</si>
  <si>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</si>
  <si>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</si>
  <si>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</si>
  <si>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</si>
  <si>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</si>
  <si>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</si>
  <si>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</si>
  <si>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</si>
  <si>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</si>
  <si>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</si>
  <si>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</si>
  <si>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</si>
  <si>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</si>
  <si>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</si>
  <si>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</si>
  <si>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</si>
  <si>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</si>
  <si>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</si>
  <si>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</si>
  <si>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</si>
  <si>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</si>
  <si>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</si>
  <si>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</si>
  <si>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</si>
  <si>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</si>
  <si>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</si>
  <si>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</si>
  <si>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</si>
  <si>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</si>
  <si>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</si>
  <si>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</si>
  <si>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</si>
  <si>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</si>
  <si>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</si>
  <si>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</si>
  <si>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</si>
  <si>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</si>
  <si>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</si>
  <si>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</si>
  <si>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</si>
  <si>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</si>
  <si>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</si>
  <si>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</si>
  <si>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</si>
  <si>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</si>
  <si>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</si>
  <si>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</si>
  <si>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</si>
  <si>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</si>
  <si>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</si>
  <si>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</si>
  <si>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</si>
  <si>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</si>
  <si>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</si>
  <si>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</si>
  <si>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</si>
  <si>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</si>
  <si>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</si>
  <si>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</si>
  <si>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</si>
  <si>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</si>
  <si>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</si>
  <si>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</si>
  <si>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</si>
  <si>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</si>
  <si>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</si>
  <si>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</si>
  <si>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</si>
  <si>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</si>
  <si>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</si>
  <si>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</si>
  <si>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</si>
  <si>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</si>
  <si>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</si>
  <si>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</si>
  <si>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</si>
  <si>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</si>
  <si>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</si>
  <si>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</si>
  <si>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</si>
  <si>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</si>
  <si>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</si>
  <si>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</si>
  <si>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</si>
  <si>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</si>
  <si>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</si>
  <si>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</si>
  <si>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</si>
  <si>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</si>
  <si>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</si>
  <si>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</si>
  <si>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</si>
  <si>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</si>
  <si>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</si>
  <si>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</si>
  <si>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</si>
  <si>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</si>
  <si>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</si>
  <si>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</si>
  <si>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</si>
  <si>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</si>
  <si>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</si>
  <si>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</si>
  <si>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</si>
  <si>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</si>
  <si>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</si>
  <si>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</si>
  <si>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</si>
  <si>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</si>
  <si>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</si>
  <si>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</si>
  <si>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</si>
  <si>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</si>
  <si>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</si>
  <si>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</si>
  <si>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</si>
  <si>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</si>
  <si>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</si>
  <si>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</si>
  <si>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</si>
  <si>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</si>
  <si>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</si>
  <si>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</si>
  <si>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</si>
  <si>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</si>
  <si>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</si>
  <si>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</si>
  <si>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</si>
  <si>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</si>
  <si>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</si>
  <si>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</si>
  <si>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</si>
  <si>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</si>
  <si>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</si>
  <si>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</si>
  <si>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</si>
  <si>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</si>
  <si>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</si>
  <si>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</si>
  <si>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</si>
  <si>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</si>
  <si>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</si>
  <si>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</si>
  <si>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</si>
  <si>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</si>
  <si>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</si>
  <si>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</si>
  <si>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</si>
  <si>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</si>
  <si>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</si>
  <si>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</si>
  <si>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</si>
  <si>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</si>
  <si>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</si>
  <si>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</si>
  <si>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</si>
  <si>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</si>
  <si>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</si>
  <si>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</si>
  <si>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</si>
  <si>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</si>
  <si>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</si>
  <si>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</si>
  <si>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</si>
  <si>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</si>
  <si>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</si>
  <si>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</si>
  <si>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</si>
  <si>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</si>
  <si>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</si>
  <si>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</si>
  <si>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</si>
  <si>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</si>
  <si>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</si>
  <si>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</si>
  <si>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</si>
  <si>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</si>
  <si>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</si>
  <si>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</si>
  <si>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</si>
  <si>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</si>
  <si>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</si>
  <si>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</si>
  <si>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</si>
  <si>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</si>
  <si>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</si>
  <si>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</si>
  <si>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</si>
  <si>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</si>
  <si>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</si>
  <si>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</si>
  <si>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</si>
  <si>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</si>
  <si>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</si>
  <si>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</si>
  <si>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</si>
  <si>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</si>
  <si>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</si>
  <si>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</si>
  <si>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</si>
  <si>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</si>
  <si>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</si>
  <si>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</si>
  <si>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</si>
  <si>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</si>
  <si>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</si>
  <si>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</si>
  <si>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</si>
  <si>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</si>
  <si>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</si>
  <si>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</si>
  <si>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</si>
  <si>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</si>
  <si>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</si>
  <si>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</si>
  <si>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</si>
  <si>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</si>
  <si>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</si>
  <si>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</si>
  <si>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</si>
  <si>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</si>
  <si>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</si>
  <si>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</si>
  <si>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</si>
  <si>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</si>
  <si>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</si>
  <si>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</si>
  <si>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</si>
  <si>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</si>
  <si>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</si>
  <si>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</si>
  <si>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</si>
  <si>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</si>
  <si>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</si>
  <si>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</si>
  <si>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</si>
  <si>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</si>
  <si>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</si>
  <si>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</si>
  <si>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</si>
  <si>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</si>
  <si>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</si>
  <si>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</si>
  <si>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</si>
  <si>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</si>
  <si>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</si>
  <si>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</si>
  <si>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</si>
  <si>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</si>
  <si>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</si>
  <si>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</si>
  <si>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</si>
  <si>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</si>
  <si>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</si>
  <si>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</si>
  <si>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</si>
  <si>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</si>
  <si>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</si>
  <si>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</si>
  <si>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</si>
  <si>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</si>
  <si>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</si>
  <si>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</si>
  <si>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</si>
  <si>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</si>
  <si>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</si>
  <si>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</si>
  <si>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</si>
  <si>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</si>
  <si>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</si>
  <si>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</si>
  <si>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</si>
  <si>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</si>
  <si>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</si>
  <si>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</si>
  <si>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</si>
  <si>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</si>
  <si>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</si>
  <si>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</si>
  <si>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</si>
  <si>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</si>
  <si>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</si>
  <si>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</si>
  <si>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</si>
  <si>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</si>
  <si>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</si>
  <si>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</si>
  <si>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</si>
  <si>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</si>
  <si>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</si>
  <si>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</si>
  <si>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</si>
  <si>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</si>
  <si>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</si>
  <si>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</si>
  <si>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</si>
  <si>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</si>
  <si>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</si>
  <si>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</si>
  <si>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</si>
  <si>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</si>
  <si>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</si>
  <si>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</si>
  <si>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</si>
  <si>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</si>
  <si>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</si>
  <si>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</si>
  <si>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</si>
  <si>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</si>
  <si>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</si>
  <si>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</si>
  <si>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</si>
  <si>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</si>
  <si>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</si>
  <si>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</si>
  <si>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</si>
  <si>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</si>
  <si>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</si>
  <si>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</si>
  <si>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</si>
  <si>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</si>
  <si>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</si>
  <si>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</si>
  <si>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</si>
  <si>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</si>
  <si>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</si>
  <si>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</si>
  <si>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</si>
  <si>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</si>
  <si>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</si>
  <si>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</si>
  <si>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</si>
  <si>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</si>
  <si>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</si>
  <si>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</si>
  <si>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</si>
  <si>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</si>
  <si>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</si>
  <si>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</si>
  <si>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</si>
  <si>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</si>
  <si>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</si>
  <si>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</si>
  <si>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</si>
  <si>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</si>
  <si>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</si>
  <si>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</si>
  <si>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</si>
  <si>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</si>
  <si>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</si>
  <si>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</si>
  <si>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</si>
  <si>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</si>
  <si>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</si>
  <si>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</si>
  <si>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</si>
  <si>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</si>
  <si>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</si>
  <si>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</si>
  <si>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</si>
  <si>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</si>
  <si>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</si>
  <si>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</si>
  <si>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</si>
  <si>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</si>
  <si>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</si>
  <si>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</si>
  <si>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</si>
  <si>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</si>
  <si>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</si>
  <si>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</si>
  <si>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</si>
  <si>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</si>
  <si>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</si>
  <si>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</si>
  <si>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</si>
  <si>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</si>
  <si>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</si>
  <si>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</si>
  <si>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</si>
  <si>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</si>
  <si>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</si>
  <si>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</si>
  <si>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</si>
  <si>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</si>
  <si>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</si>
  <si>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</si>
  <si>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</si>
  <si>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</si>
  <si>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</si>
  <si>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</si>
  <si>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</si>
  <si>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</si>
  <si>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</si>
  <si>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</si>
  <si>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</si>
  <si>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</si>
  <si>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</si>
  <si>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</si>
  <si>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</si>
  <si>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</si>
  <si>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</si>
  <si>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</si>
  <si>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</si>
  <si>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</si>
  <si>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</si>
  <si>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</si>
  <si>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</si>
  <si>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</si>
  <si>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</si>
  <si>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</si>
  <si>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</si>
  <si>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</si>
  <si>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</si>
  <si>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</si>
  <si>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</si>
  <si>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</si>
  <si>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</si>
  <si>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</si>
  <si>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</si>
  <si>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</si>
  <si>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</si>
  <si>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</si>
  <si>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</si>
  <si>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</si>
  <si>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</si>
  <si>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</si>
  <si>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</si>
  <si>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</si>
  <si>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</si>
  <si>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</si>
  <si>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</si>
  <si>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</si>
  <si>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</si>
  <si>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</si>
  <si>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</si>
  <si>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</si>
  <si>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</si>
  <si>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</si>
  <si>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</si>
  <si>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</si>
  <si>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</si>
  <si>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</si>
  <si>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</si>
  <si>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</si>
  <si>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</si>
  <si>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</si>
  <si>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</si>
  <si>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</si>
  <si>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</si>
  <si>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</si>
  <si>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</si>
  <si>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</si>
  <si>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</si>
  <si>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</si>
  <si>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</si>
  <si>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</si>
  <si>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</si>
  <si>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</si>
  <si>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</si>
  <si>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</si>
  <si>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</si>
  <si>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</si>
  <si>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</si>
  <si>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</si>
  <si>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</si>
  <si>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</si>
  <si>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</si>
  <si>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</si>
  <si>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</si>
  <si>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</si>
  <si>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</si>
  <si>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</si>
  <si>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</si>
  <si>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</si>
  <si>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</si>
  <si>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</si>
  <si>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</si>
  <si>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</si>
  <si>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</si>
  <si>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</si>
  <si>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</si>
  <si>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</si>
  <si>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</si>
  <si>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</si>
  <si>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</si>
  <si>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</si>
  <si>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</si>
  <si>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</si>
  <si>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</si>
  <si>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</si>
  <si>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</si>
  <si>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</si>
  <si>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</si>
  <si>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</si>
  <si>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</si>
  <si>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</si>
  <si>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</si>
  <si>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</si>
  <si>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</si>
  <si>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</si>
  <si>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</si>
  <si>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</si>
  <si>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</si>
  <si>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</si>
  <si>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</si>
  <si>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</si>
  <si>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</si>
  <si>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</si>
  <si>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</si>
  <si>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</si>
  <si>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</si>
  <si>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</si>
  <si>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</si>
  <si>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</si>
  <si>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</si>
  <si>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</si>
  <si>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</si>
  <si>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</si>
  <si>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</si>
  <si>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</si>
  <si>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</si>
  <si>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</si>
  <si>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</si>
  <si>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</si>
  <si>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</si>
  <si>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</si>
  <si>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</si>
  <si>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</si>
  <si>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</si>
  <si>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</si>
  <si>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</si>
  <si>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</si>
  <si>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</si>
  <si>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</si>
  <si>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</si>
  <si>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</si>
  <si>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</si>
  <si>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</si>
  <si>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</si>
  <si>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</si>
  <si>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</si>
  <si>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</si>
  <si>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</si>
  <si>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</si>
  <si>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</si>
  <si>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</si>
  <si>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</si>
  <si>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</si>
  <si>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</si>
  <si>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</si>
  <si>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</si>
  <si>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</si>
  <si>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</si>
  <si>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</si>
  <si>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</si>
  <si>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</si>
  <si>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</si>
  <si>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</si>
  <si>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</si>
  <si>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</si>
  <si>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</si>
  <si>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</si>
  <si>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</si>
  <si>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</si>
  <si>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</si>
  <si>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</si>
  <si>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</si>
  <si>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</si>
  <si>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</si>
  <si>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</si>
  <si>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</si>
  <si>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</si>
  <si>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</si>
  <si>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</si>
  <si>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</si>
  <si>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</si>
  <si>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</si>
  <si>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</si>
  <si>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</si>
  <si>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</si>
  <si>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</si>
  <si>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</si>
  <si>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</si>
  <si>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</si>
  <si>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</si>
  <si>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</si>
  <si>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</si>
  <si>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</si>
  <si>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</si>
  <si>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</si>
  <si>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</si>
  <si>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</si>
  <si>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</si>
  <si>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</si>
  <si>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</si>
  <si>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</si>
  <si>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</si>
  <si>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</si>
  <si>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</si>
  <si>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</si>
  <si>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</si>
  <si>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</si>
  <si>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</si>
  <si>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</si>
  <si>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</si>
  <si>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</si>
  <si>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</si>
  <si>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</si>
  <si>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</si>
  <si>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</si>
  <si>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</si>
  <si>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</si>
  <si>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</si>
  <si>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</si>
  <si>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</si>
  <si>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</si>
  <si>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</si>
  <si>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</si>
  <si>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</si>
  <si>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</si>
  <si>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</si>
  <si>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</si>
  <si>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</si>
  <si>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</si>
  <si>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</si>
  <si>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</si>
  <si>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</si>
  <si>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</si>
  <si>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</si>
  <si>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</si>
  <si>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</si>
  <si>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</si>
  <si>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</si>
  <si>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</si>
  <si>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</si>
  <si>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</si>
  <si>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</si>
  <si>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</si>
  <si>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</si>
  <si>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</si>
  <si>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</si>
  <si>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</si>
  <si>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</si>
  <si>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</si>
  <si>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</si>
  <si>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</si>
  <si>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</si>
  <si>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</si>
  <si>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</si>
  <si>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</si>
  <si>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</si>
  <si>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</si>
  <si>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</si>
  <si>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</si>
  <si>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</si>
  <si>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</si>
  <si>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</si>
  <si>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</si>
  <si>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</si>
  <si>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</si>
  <si>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</si>
  <si>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</si>
  <si>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</si>
  <si>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</si>
  <si>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</si>
  <si>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</si>
  <si>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</si>
  <si>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</si>
  <si>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</si>
  <si>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</si>
  <si>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</si>
  <si>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</si>
  <si>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</si>
  <si>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</si>
  <si>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</si>
  <si>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</si>
  <si>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</si>
  <si>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</si>
  <si>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</si>
  <si>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</si>
  <si>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</si>
  <si>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</si>
  <si>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</si>
  <si>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</si>
  <si>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</si>
  <si>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</si>
  <si>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</si>
  <si>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</si>
  <si>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</si>
  <si>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</si>
  <si>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</si>
  <si>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</si>
  <si>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</si>
  <si>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</si>
  <si>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</si>
  <si>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</si>
  <si>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</si>
  <si>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</si>
  <si>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</si>
  <si>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</si>
  <si>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</si>
  <si>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</si>
  <si>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</si>
  <si>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</si>
  <si>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</si>
  <si>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</si>
  <si>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</si>
  <si>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</si>
  <si>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</si>
  <si>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</si>
  <si>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</si>
  <si>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</si>
  <si>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</si>
  <si>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</si>
  <si>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</si>
  <si>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</si>
  <si>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</si>
  <si>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</si>
  <si>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</si>
  <si>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</si>
  <si>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</si>
  <si>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</si>
  <si>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</si>
  <si>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</si>
  <si>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</si>
  <si>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</si>
  <si>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</si>
  <si>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</si>
  <si>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</si>
  <si>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</si>
  <si>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</si>
  <si>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</si>
  <si>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</si>
  <si>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</si>
  <si>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</si>
  <si>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</si>
  <si>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</si>
  <si>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</si>
  <si>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</si>
  <si>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</si>
  <si>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</si>
  <si>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</si>
  <si>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</si>
  <si>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</si>
  <si>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</si>
  <si>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</si>
  <si>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</si>
  <si>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</si>
  <si>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</si>
  <si>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</si>
  <si>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</si>
  <si>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</si>
  <si>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</si>
  <si>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</si>
  <si>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</si>
  <si>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</si>
  <si>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</si>
  <si>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</si>
  <si>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</si>
  <si>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</si>
  <si>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</si>
  <si>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</si>
  <si>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</si>
  <si>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</si>
  <si>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</si>
  <si>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</si>
  <si>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</si>
  <si>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</si>
  <si>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</si>
  <si>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</si>
  <si>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</si>
  <si>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</si>
  <si>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</si>
  <si>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</si>
  <si>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</si>
  <si>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</si>
  <si>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</si>
  <si>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</si>
  <si>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</si>
  <si>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</si>
  <si>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</si>
  <si>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</si>
  <si>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</si>
  <si>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</si>
  <si>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</si>
  <si>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</si>
  <si>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</si>
  <si>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</si>
  <si>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</si>
  <si>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</si>
  <si>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</si>
  <si>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</si>
  <si>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</si>
  <si>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</si>
  <si>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</si>
  <si>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</si>
  <si>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</si>
  <si>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</si>
  <si>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</si>
  <si>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</si>
  <si>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</si>
  <si>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</si>
  <si>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</si>
  <si>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</si>
  <si>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</si>
  <si>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</si>
  <si>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</si>
  <si>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</si>
  <si>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</si>
  <si>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</si>
  <si>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</si>
  <si>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</si>
  <si>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</si>
  <si>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</si>
  <si>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</si>
  <si>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</si>
  <si>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</si>
  <si>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</si>
  <si>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</si>
  <si>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</si>
  <si>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</si>
  <si>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</si>
  <si>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</si>
  <si>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</si>
  <si>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</si>
  <si>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</si>
  <si>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</si>
  <si>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</si>
  <si>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</si>
  <si>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</si>
  <si>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</si>
  <si>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</si>
  <si>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</si>
  <si>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</si>
  <si>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</si>
  <si>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</si>
  <si>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</si>
  <si>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</si>
  <si>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</si>
  <si>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</si>
  <si>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</si>
  <si>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</si>
  <si>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</si>
  <si>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</si>
  <si>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</si>
  <si>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</si>
  <si>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</si>
  <si>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</si>
  <si>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</si>
  <si>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</si>
  <si>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</si>
  <si>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</si>
  <si>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</si>
  <si>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</si>
  <si>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</si>
  <si>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</si>
  <si>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</si>
  <si>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</si>
  <si>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</si>
  <si>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</si>
  <si>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</si>
  <si>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</si>
  <si>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</si>
  <si>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</si>
  <si>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</si>
  <si>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</si>
  <si>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</si>
  <si>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</si>
  <si>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</si>
  <si>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</si>
  <si>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</si>
  <si>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</si>
  <si>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</si>
  <si>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</si>
  <si>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</si>
  <si>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</si>
  <si>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</si>
  <si>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</si>
  <si>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</si>
  <si>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</si>
  <si>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</si>
  <si>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</si>
  <si>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</si>
  <si>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</si>
  <si>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</si>
  <si>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</si>
  <si>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</si>
  <si>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</si>
  <si>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</si>
  <si>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</si>
  <si>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</si>
  <si>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</si>
  <si>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</si>
  <si>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</si>
  <si>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</si>
  <si>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</si>
  <si>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</si>
  <si>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</si>
  <si>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</si>
  <si>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</si>
  <si>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</si>
  <si>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</si>
  <si>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</si>
  <si>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</si>
  <si>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</si>
  <si>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</si>
  <si>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</si>
  <si>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</si>
  <si>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</si>
  <si>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</si>
  <si>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</si>
  <si>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</si>
  <si>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</si>
  <si>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</si>
  <si>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</si>
  <si>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</si>
  <si>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</si>
  <si>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</si>
  <si>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</si>
  <si>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</si>
  <si>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</si>
  <si>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</si>
  <si>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</si>
  <si>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</si>
  <si>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</si>
  <si>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</si>
  <si>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</si>
  <si>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</si>
  <si>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</si>
  <si>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</si>
  <si>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</si>
  <si>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</si>
  <si>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</si>
  <si>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</si>
  <si>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</si>
  <si>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</si>
  <si>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</si>
  <si>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</si>
  <si>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</si>
  <si>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</si>
  <si>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</si>
  <si>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</si>
  <si>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</si>
  <si>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</si>
  <si>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</si>
  <si>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</si>
  <si>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</si>
  <si>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</si>
  <si>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</si>
  <si>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</si>
  <si>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</si>
  <si>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</si>
  <si>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</si>
  <si>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</si>
  <si>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</si>
  <si>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</si>
  <si>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</si>
  <si>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</si>
  <si>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</si>
  <si>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</si>
  <si>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</si>
  <si>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</si>
  <si>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</si>
  <si>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</si>
  <si>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</si>
  <si>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</si>
  <si>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</si>
  <si>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</si>
  <si>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</si>
  <si>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</si>
  <si>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</si>
  <si>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</si>
  <si>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</si>
  <si>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</si>
  <si>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</si>
  <si>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</si>
  <si>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</si>
  <si>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</si>
  <si>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</si>
  <si>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</si>
  <si>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</si>
  <si>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</si>
  <si>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</si>
  <si>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</si>
  <si>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</si>
  <si>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</si>
  <si>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</si>
  <si>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</si>
  <si>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</si>
  <si>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</si>
  <si>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</si>
  <si>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</si>
  <si>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</si>
  <si>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</si>
  <si>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</si>
  <si>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</si>
  <si>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</si>
  <si>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</si>
  <si>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</si>
  <si>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</si>
  <si>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</si>
  <si>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</si>
  <si>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</si>
  <si>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</si>
  <si>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</si>
  <si>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</si>
  <si>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</si>
  <si>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</si>
  <si>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</si>
  <si>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</si>
  <si>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</si>
  <si>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</si>
  <si>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</si>
  <si>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</si>
  <si>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</si>
  <si>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</si>
  <si>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</si>
  <si>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</si>
  <si>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</si>
  <si>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</si>
  <si>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</si>
  <si>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</si>
  <si>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</si>
  <si>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</si>
  <si>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</si>
  <si>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</si>
  <si>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</si>
  <si>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</si>
  <si>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</si>
  <si>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</si>
  <si>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</si>
  <si>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</si>
  <si>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</si>
  <si>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</si>
  <si>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</si>
  <si>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</si>
  <si>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</si>
  <si>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</si>
  <si>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</si>
  <si>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</si>
  <si>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</si>
  <si>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</si>
  <si>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</si>
  <si>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</si>
  <si>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</si>
  <si>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</si>
  <si>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</si>
  <si>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</si>
  <si>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</si>
  <si>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</si>
  <si>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</si>
  <si>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</si>
  <si>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</si>
  <si>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</si>
  <si>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</si>
  <si>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</si>
  <si>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</si>
  <si>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</si>
  <si>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</si>
  <si>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</si>
  <si>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</si>
  <si>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</si>
  <si>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</si>
  <si>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</si>
  <si>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</si>
  <si>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</si>
  <si>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</si>
  <si>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</si>
  <si>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</si>
  <si>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</si>
  <si>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</si>
  <si>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</si>
  <si>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</si>
  <si>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</si>
  <si>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</si>
  <si>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</si>
  <si>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</si>
  <si>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</si>
  <si>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</si>
  <si>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</si>
  <si>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</si>
  <si>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</si>
  <si>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</si>
  <si>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</si>
  <si>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</si>
  <si>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</si>
  <si>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</si>
  <si>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</si>
  <si>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</si>
  <si>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</si>
  <si>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</si>
  <si>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</si>
  <si>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</si>
  <si>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</si>
  <si>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</si>
  <si>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</si>
  <si>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</si>
  <si>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</si>
  <si>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</si>
  <si>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</si>
  <si>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</si>
  <si>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</si>
  <si>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</si>
  <si>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</si>
  <si>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</si>
  <si>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</si>
  <si>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</si>
  <si>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</si>
  <si>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</si>
  <si>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</si>
  <si>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</si>
  <si>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</si>
  <si>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</si>
  <si>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</si>
  <si>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</si>
  <si>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</si>
  <si>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</si>
  <si>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</si>
  <si>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</si>
  <si>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</si>
  <si>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</si>
  <si>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</si>
  <si>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</si>
  <si>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</si>
  <si>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</si>
  <si>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</si>
  <si>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</si>
  <si>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</si>
  <si>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</si>
  <si>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</si>
  <si>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</si>
  <si>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</si>
  <si>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</si>
  <si>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</si>
  <si>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</si>
  <si>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</si>
  <si>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</si>
  <si>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</si>
  <si>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</si>
  <si>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</si>
  <si>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</si>
  <si>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</si>
  <si>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</si>
  <si>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</si>
  <si>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</si>
  <si>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</si>
  <si>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</si>
  <si>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</si>
  <si>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</si>
  <si>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</si>
  <si>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</si>
  <si>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</si>
  <si>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</si>
  <si>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</si>
  <si>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</si>
  <si>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</si>
  <si>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</si>
  <si>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</si>
  <si>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</si>
  <si>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</si>
  <si>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</si>
  <si>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</si>
  <si>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</si>
  <si>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</si>
  <si>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</si>
  <si>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</si>
  <si>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</si>
  <si>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</si>
  <si>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</si>
  <si>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</si>
  <si>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</si>
  <si>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</si>
  <si>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</si>
  <si>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</si>
  <si>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</si>
  <si>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</si>
  <si>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</si>
  <si>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</si>
  <si>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</si>
  <si>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</si>
  <si>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</si>
  <si>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</si>
  <si>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</si>
  <si>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</si>
  <si>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</si>
  <si>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</si>
  <si>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</si>
  <si>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</si>
  <si>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</si>
  <si>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</si>
  <si>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</si>
  <si>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</si>
  <si>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</si>
  <si>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</si>
  <si>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</si>
  <si>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</si>
  <si>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</si>
  <si>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</si>
  <si>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</si>
  <si>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</si>
  <si>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</si>
  <si>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</si>
  <si>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</si>
  <si>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</si>
  <si>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</si>
  <si>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</si>
  <si>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</si>
  <si>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</si>
  <si>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</si>
  <si>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</si>
  <si>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</si>
  <si>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</si>
  <si>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</si>
  <si>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</si>
  <si>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</si>
  <si>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</si>
  <si>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</si>
  <si>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</si>
  <si>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</si>
  <si>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</si>
  <si>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</si>
  <si>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</si>
  <si>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</si>
  <si>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</si>
  <si>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</si>
  <si>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</si>
  <si>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</si>
  <si>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</si>
  <si>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</si>
  <si>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</si>
  <si>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</si>
  <si>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</si>
  <si>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</si>
  <si>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</si>
  <si>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</si>
  <si>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</si>
  <si>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</si>
  <si>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</si>
  <si>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</si>
  <si>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</si>
  <si>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</si>
  <si>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</si>
  <si>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</si>
  <si>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</si>
  <si>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</si>
  <si>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</si>
  <si>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</si>
  <si>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</si>
  <si>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</si>
  <si>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</si>
  <si>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</si>
  <si>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</si>
  <si>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</si>
  <si>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</si>
  <si>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</si>
  <si>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</si>
  <si>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</si>
  <si>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</si>
  <si>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</si>
  <si>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</si>
  <si>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</si>
  <si>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</si>
  <si>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</si>
  <si>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</si>
  <si>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</si>
  <si>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</si>
  <si>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</si>
  <si>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</si>
  <si>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</si>
  <si>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</si>
  <si>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</si>
  <si>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</si>
  <si>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</si>
  <si>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</si>
  <si>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</si>
  <si>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</si>
  <si>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</si>
  <si>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</si>
  <si>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</si>
  <si>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</si>
  <si>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</si>
  <si>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</si>
  <si>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</si>
  <si>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</si>
  <si>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</si>
  <si>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</si>
  <si>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</si>
  <si>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</si>
  <si>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</si>
  <si>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</si>
  <si>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</si>
  <si>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</si>
  <si>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</si>
  <si>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</si>
  <si>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</si>
  <si>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</si>
  <si>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</si>
  <si>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</si>
  <si>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</si>
  <si>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</si>
  <si>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</si>
  <si>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</si>
  <si>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</si>
  <si>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</si>
  <si>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</si>
  <si>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</si>
  <si>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</si>
  <si>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</si>
  <si>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</si>
  <si>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</si>
  <si>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</si>
  <si>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</si>
  <si>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</si>
  <si>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</si>
  <si>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</si>
  <si>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</si>
  <si>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</si>
  <si>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</si>
  <si>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</si>
  <si>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</si>
  <si>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</si>
  <si>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</si>
  <si>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</si>
  <si>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</si>
  <si>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</si>
  <si>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</si>
  <si>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</si>
  <si>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</si>
  <si>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</si>
  <si>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</si>
  <si>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</si>
  <si>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</si>
  <si>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</si>
  <si>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</si>
  <si>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</si>
  <si>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</si>
  <si>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</si>
  <si>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</si>
  <si>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</si>
  <si>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</si>
  <si>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</si>
  <si>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</si>
  <si>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</si>
  <si>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</si>
  <si>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</si>
  <si>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</si>
  <si>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</si>
  <si>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</si>
  <si>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</si>
  <si>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</si>
  <si>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</si>
  <si>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</si>
  <si>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</si>
  <si>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</si>
  <si>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</si>
  <si>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</si>
  <si>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</si>
  <si>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</si>
  <si>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</si>
  <si>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</si>
  <si>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</si>
  <si>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</si>
  <si>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</si>
  <si>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</si>
  <si>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</si>
  <si>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</si>
  <si>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</si>
  <si>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</si>
  <si>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</si>
  <si>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</si>
  <si>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</si>
  <si>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</si>
  <si>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</si>
  <si>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</si>
  <si>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</si>
  <si>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</si>
  <si>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</si>
  <si>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</si>
  <si>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</si>
  <si>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</si>
  <si>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</si>
  <si>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</si>
  <si>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</si>
  <si>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</si>
  <si>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</si>
  <si>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</si>
  <si>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</si>
  <si>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</si>
  <si>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</si>
  <si>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</si>
  <si>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</si>
  <si>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</si>
  <si>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</si>
  <si>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</si>
  <si>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</si>
  <si>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</si>
  <si>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</si>
  <si>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</si>
  <si>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</si>
  <si>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</si>
  <si>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</si>
  <si>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</si>
  <si>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</si>
  <si>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</si>
  <si>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</si>
  <si>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</si>
  <si>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</si>
  <si>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</si>
  <si>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</si>
  <si>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</si>
  <si>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</si>
  <si>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</si>
  <si>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</si>
  <si>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</si>
  <si>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</si>
  <si>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</si>
  <si>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</si>
  <si>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</si>
  <si>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</si>
  <si>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</si>
  <si>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</si>
  <si>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</si>
  <si>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</si>
  <si>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</si>
  <si>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</si>
  <si>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</si>
  <si>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</si>
  <si>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</si>
  <si>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</si>
  <si>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</si>
  <si>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</si>
  <si>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</si>
  <si>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</si>
  <si>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</si>
  <si>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</si>
  <si>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</si>
  <si>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</si>
  <si>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</si>
  <si>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</si>
  <si>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</si>
  <si>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</si>
  <si>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</si>
  <si>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</si>
  <si>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</si>
  <si>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</si>
  <si>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</si>
  <si>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</si>
  <si>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</si>
  <si>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</si>
  <si>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</si>
  <si>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</si>
  <si>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</si>
  <si>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</si>
  <si>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</si>
  <si>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</si>
  <si>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</si>
  <si>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</si>
  <si>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</si>
  <si>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</si>
  <si>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</si>
  <si>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</si>
  <si>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</si>
  <si>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</si>
  <si>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</si>
  <si>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</si>
  <si>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</si>
  <si>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</si>
  <si>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</si>
  <si>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</si>
  <si>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</si>
  <si>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</si>
  <si>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</si>
  <si>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</si>
  <si>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</si>
  <si>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</si>
  <si>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</si>
  <si>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</si>
  <si>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</si>
  <si>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</si>
  <si>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</si>
  <si>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</si>
  <si>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</si>
  <si>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</si>
  <si>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</si>
  <si>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</si>
  <si>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</si>
  <si>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</si>
  <si>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</si>
  <si>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</si>
  <si>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</si>
  <si>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</si>
  <si>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</si>
  <si>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</si>
  <si>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</si>
  <si>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</si>
  <si>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</si>
  <si>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</si>
  <si>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</si>
  <si>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</si>
  <si>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</si>
  <si>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</si>
  <si>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</si>
  <si>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</si>
  <si>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</si>
  <si>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</si>
  <si>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</si>
  <si>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</si>
  <si>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</si>
  <si>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</si>
  <si>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</si>
  <si>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</si>
  <si>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</si>
  <si>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</si>
  <si>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</si>
  <si>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</si>
  <si>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</si>
  <si>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</si>
  <si>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</si>
  <si>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</si>
  <si>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</si>
  <si>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</si>
  <si>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</si>
  <si>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</si>
  <si>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</si>
  <si>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</si>
  <si>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</si>
  <si>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</si>
  <si>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</si>
  <si>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</si>
  <si>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</si>
  <si>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</si>
  <si>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</si>
  <si>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</si>
  <si>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</si>
  <si>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</si>
  <si>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</si>
  <si>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</si>
  <si>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</si>
  <si>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</si>
  <si>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</si>
  <si>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</si>
  <si>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</si>
  <si>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</si>
  <si>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</si>
  <si>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</si>
  <si>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</si>
  <si>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</si>
  <si>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</si>
  <si>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</si>
  <si>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</si>
  <si>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</si>
  <si>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</si>
  <si>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</si>
  <si>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</si>
  <si>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</si>
  <si>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</si>
  <si>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</si>
  <si>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</si>
  <si>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</si>
  <si>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</si>
  <si>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</si>
  <si>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</si>
  <si>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</si>
  <si>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</si>
  <si>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</si>
  <si>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</si>
  <si>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</si>
  <si>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</si>
  <si>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</si>
  <si>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</si>
  <si>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</si>
  <si>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</si>
  <si>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</si>
  <si>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</si>
  <si>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</si>
  <si>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</si>
  <si>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</si>
  <si>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</si>
  <si>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</si>
  <si>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</si>
  <si>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</si>
  <si>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</si>
  <si>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</si>
  <si>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</si>
  <si>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</si>
  <si>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</si>
  <si>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</si>
  <si>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</si>
  <si>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</si>
  <si>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</si>
  <si>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</si>
  <si>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</si>
  <si>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</si>
  <si>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</si>
  <si>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</si>
  <si>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</si>
  <si>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</si>
  <si>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</si>
  <si>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</si>
  <si>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</si>
  <si>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</si>
  <si>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</si>
  <si>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</si>
  <si>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</si>
  <si>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</si>
  <si>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</si>
  <si>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</si>
  <si>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</si>
  <si>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</si>
  <si>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</si>
  <si>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</si>
  <si>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</si>
  <si>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</si>
  <si>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</si>
  <si>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</si>
  <si>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</si>
  <si>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</si>
  <si>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</si>
  <si>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</si>
  <si>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</si>
  <si>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</si>
  <si>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</si>
  <si>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</si>
  <si>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</si>
  <si>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</si>
  <si>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</si>
  <si>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</si>
  <si>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</si>
  <si>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</si>
  <si>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</si>
  <si>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</si>
  <si>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</si>
  <si>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</si>
  <si>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</si>
  <si>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</si>
  <si>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</si>
  <si>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</si>
  <si>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</si>
  <si>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</si>
  <si>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</si>
  <si>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</si>
  <si>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</si>
  <si>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</si>
  <si>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</si>
  <si>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</si>
  <si>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</si>
  <si>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</si>
  <si>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</si>
  <si>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</si>
  <si>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</si>
  <si>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</si>
  <si>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</si>
  <si>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</si>
  <si>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</si>
  <si>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</si>
  <si>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</si>
  <si>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</si>
  <si>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</si>
  <si>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</si>
  <si>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</si>
  <si>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</si>
  <si>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</si>
  <si>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</si>
  <si>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</si>
  <si>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</si>
  <si>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</si>
  <si>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</si>
  <si>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</si>
  <si>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</si>
  <si>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</si>
  <si>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</si>
  <si>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</si>
  <si>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</si>
  <si>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</si>
  <si>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</si>
  <si>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</si>
  <si>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</si>
  <si>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</si>
  <si>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</si>
  <si>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</si>
  <si>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</si>
  <si>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</si>
  <si>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</si>
  <si>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</si>
  <si>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</si>
  <si>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</si>
  <si>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</si>
  <si>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</si>
  <si>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</si>
  <si>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</si>
  <si>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</si>
  <si>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</si>
  <si>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</si>
  <si>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</si>
  <si>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</si>
  <si>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</si>
  <si>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</si>
  <si>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</si>
  <si>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</si>
  <si>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</si>
  <si>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</si>
  <si>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</si>
  <si>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</si>
  <si>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</si>
  <si>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</si>
  <si>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</si>
  <si>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</si>
  <si>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</si>
  <si>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</si>
  <si>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</si>
  <si>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</si>
  <si>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</si>
  <si>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</si>
  <si>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</si>
  <si>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</si>
  <si>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</si>
  <si>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</si>
  <si>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</si>
  <si>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</si>
  <si>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</si>
  <si>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</si>
  <si>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</si>
  <si>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</si>
  <si>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</si>
  <si>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</si>
  <si>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</si>
  <si>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</si>
  <si>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</si>
  <si>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</si>
  <si>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</si>
  <si>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</si>
  <si>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</si>
  <si>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</si>
  <si>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</si>
  <si>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</si>
  <si>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</si>
  <si>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</si>
  <si>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</si>
  <si>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</si>
  <si>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</si>
  <si>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</si>
  <si>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</si>
  <si>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</si>
  <si>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</si>
  <si>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</si>
  <si>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</si>
  <si>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</si>
  <si>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</si>
  <si>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</si>
  <si>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</si>
  <si>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</si>
  <si>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</si>
  <si>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</si>
  <si>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</si>
  <si>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</si>
  <si>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</si>
  <si>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</si>
  <si>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</si>
  <si>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</si>
  <si>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</si>
  <si>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</si>
  <si>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</si>
  <si>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</si>
  <si>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</si>
  <si>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</si>
  <si>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</si>
  <si>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</si>
  <si>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</si>
  <si>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</si>
  <si>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</si>
  <si>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</si>
  <si>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</si>
  <si>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</si>
  <si>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</si>
  <si>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</si>
  <si>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</si>
  <si>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</si>
  <si>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</si>
  <si>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</si>
  <si>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</si>
  <si>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</si>
  <si>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</si>
  <si>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</si>
  <si>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</si>
  <si>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</si>
  <si>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</si>
  <si>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</si>
  <si>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</si>
  <si>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</si>
  <si>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</si>
  <si>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</si>
  <si>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</si>
  <si>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</si>
  <si>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</si>
  <si>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</si>
  <si>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</si>
  <si>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</si>
  <si>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</si>
  <si>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</si>
  <si>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</si>
  <si>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</si>
  <si>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</si>
  <si>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</si>
  <si>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</si>
  <si>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</si>
  <si>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</si>
  <si>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</si>
  <si>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</si>
  <si>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</si>
  <si>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</si>
  <si>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</si>
  <si>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</si>
  <si>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</si>
  <si>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</si>
  <si>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</si>
  <si>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</si>
  <si>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</si>
  <si>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</si>
  <si>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</si>
  <si>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</si>
  <si>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</si>
  <si>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</si>
  <si>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</si>
  <si>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</si>
  <si>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</si>
  <si>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</si>
  <si>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</si>
  <si>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</si>
  <si>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</si>
  <si>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</si>
  <si>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</si>
  <si>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</si>
  <si>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</si>
  <si>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</si>
  <si>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</si>
  <si>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</si>
  <si>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</si>
  <si>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</si>
  <si>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</si>
  <si>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</si>
  <si>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</si>
  <si>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</si>
  <si>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</si>
  <si>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</si>
  <si>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</si>
  <si>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</si>
  <si>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</si>
  <si>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</si>
  <si>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</si>
  <si>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</si>
  <si>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</si>
  <si>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</si>
  <si>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</si>
  <si>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</si>
  <si>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</si>
  <si>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</si>
  <si>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</si>
  <si>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</si>
  <si>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</si>
  <si>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</si>
  <si>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</si>
  <si>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</si>
  <si>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</si>
  <si>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</si>
  <si>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</si>
  <si>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</si>
  <si>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</si>
  <si>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</si>
  <si>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</si>
  <si>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</si>
  <si>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</si>
  <si>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</si>
  <si>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</si>
  <si>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</si>
  <si>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</si>
  <si>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</si>
  <si>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</si>
  <si>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</si>
  <si>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</si>
  <si>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</si>
  <si>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</si>
  <si>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</si>
  <si>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</si>
  <si>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</si>
  <si>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</si>
  <si>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</si>
  <si>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</si>
  <si>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</si>
  <si>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</si>
  <si>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</si>
  <si>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</si>
  <si>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</si>
  <si>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</si>
  <si>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</si>
  <si>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</si>
  <si>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</si>
  <si>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</si>
  <si>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</si>
  <si>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</si>
  <si>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</si>
  <si>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</si>
  <si>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</si>
  <si>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</si>
  <si>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</si>
  <si>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</si>
  <si>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</si>
  <si>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</si>
  <si>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</si>
  <si>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</si>
  <si>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</si>
  <si>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</si>
  <si>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</si>
  <si>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</si>
  <si>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</si>
  <si>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</si>
  <si>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</si>
  <si>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</si>
  <si>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</si>
  <si>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</si>
  <si>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</si>
  <si>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</si>
  <si>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</si>
  <si>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</si>
  <si>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</si>
  <si>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</si>
  <si>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</si>
  <si>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</si>
  <si>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</si>
  <si>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</si>
  <si>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</si>
  <si>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</si>
  <si>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</si>
  <si>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</si>
  <si>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</si>
  <si>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</si>
  <si>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</si>
  <si>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</si>
  <si>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</si>
  <si>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</si>
  <si>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</si>
  <si>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</si>
  <si>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</si>
  <si>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</si>
  <si>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</si>
  <si>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</si>
  <si>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</si>
  <si>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</si>
  <si>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</si>
  <si>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</si>
  <si>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</si>
  <si>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</si>
  <si>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</si>
  <si>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</si>
  <si>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</si>
  <si>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</si>
  <si>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</si>
  <si>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</si>
  <si>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</si>
  <si>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</si>
  <si>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</si>
  <si>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</si>
  <si>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</si>
  <si>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</si>
  <si>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</si>
  <si>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</si>
  <si>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</si>
  <si>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</si>
  <si>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</si>
  <si>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</si>
  <si>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</si>
  <si>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</si>
  <si>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</si>
  <si>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</si>
  <si>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</si>
  <si>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</si>
  <si>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</si>
  <si>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</si>
  <si>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</si>
  <si>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</si>
  <si>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</si>
  <si>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</si>
  <si>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</si>
  <si>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</si>
  <si>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</si>
  <si>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</si>
  <si>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</si>
  <si>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</si>
  <si>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</si>
  <si>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</si>
  <si>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</si>
  <si>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</si>
  <si>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</si>
  <si>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</si>
  <si>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</si>
  <si>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</si>
  <si>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</si>
  <si>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</si>
  <si>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</si>
  <si>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</si>
  <si>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</si>
  <si>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</si>
  <si>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</si>
  <si>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</si>
  <si>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</si>
  <si>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</si>
  <si>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</si>
  <si>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</si>
  <si>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</si>
  <si>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</si>
  <si>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</si>
  <si>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</si>
  <si>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</si>
  <si>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</si>
  <si>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</si>
  <si>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</si>
  <si>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</si>
  <si>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</si>
  <si>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</si>
  <si>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</si>
  <si>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</si>
  <si>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</si>
  <si>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</si>
  <si>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</si>
  <si>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</si>
  <si>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</si>
  <si>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</si>
  <si>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</si>
  <si>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</si>
  <si>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</si>
  <si>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</si>
  <si>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</si>
  <si>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</si>
  <si>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</si>
  <si>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</si>
  <si>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</si>
  <si>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</si>
  <si>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</si>
  <si>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</si>
  <si>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</si>
  <si>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</si>
  <si>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</si>
  <si>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</si>
  <si>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</si>
  <si>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</si>
  <si>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</si>
  <si>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</si>
  <si>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</si>
  <si>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</si>
  <si>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</si>
  <si>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</si>
  <si>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</si>
  <si>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</si>
  <si>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</si>
  <si>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</si>
  <si>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</si>
  <si>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</si>
  <si>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</si>
  <si>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</si>
  <si>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</si>
  <si>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</si>
  <si>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</si>
  <si>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</si>
  <si>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</si>
  <si>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</si>
  <si>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</si>
  <si>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</si>
  <si>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</si>
  <si>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</si>
  <si>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</si>
  <si>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</si>
  <si>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</si>
  <si>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</si>
  <si>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</si>
  <si>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</si>
  <si>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</si>
  <si>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</si>
  <si>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</si>
  <si>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</si>
  <si>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</si>
  <si>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</si>
  <si>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</si>
  <si>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</si>
  <si>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</si>
  <si>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</si>
  <si>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</si>
  <si>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</si>
  <si>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</si>
  <si>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</si>
  <si>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</si>
  <si>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</si>
  <si>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</si>
  <si>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</si>
  <si>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</si>
  <si>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</si>
  <si>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</si>
  <si>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</si>
  <si>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</si>
  <si>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</si>
  <si>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</si>
  <si>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</si>
  <si>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</si>
  <si>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</si>
  <si>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</si>
  <si>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</si>
  <si>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</si>
  <si>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</si>
  <si>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</si>
  <si>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</si>
  <si>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</si>
  <si>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</si>
  <si>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</si>
  <si>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</si>
  <si>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</si>
  <si>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</si>
  <si>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</si>
  <si>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</si>
  <si>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</si>
  <si>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</si>
  <si>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</si>
  <si>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</si>
  <si>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</si>
  <si>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</si>
  <si>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</si>
  <si>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</si>
  <si>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</si>
  <si>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</si>
  <si>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</si>
  <si>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</si>
  <si>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</si>
  <si>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</si>
  <si>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</si>
  <si>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</si>
  <si>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</si>
  <si>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</si>
  <si>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</si>
  <si>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</si>
  <si>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</si>
  <si>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</si>
  <si>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</si>
  <si>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</si>
  <si>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</si>
  <si>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</si>
  <si>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</si>
  <si>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</si>
  <si>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</si>
  <si>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</si>
  <si>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</si>
  <si>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</si>
  <si>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</si>
  <si>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</si>
  <si>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</si>
  <si>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</si>
  <si>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</si>
  <si>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</si>
  <si>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</si>
  <si>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</si>
  <si>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</si>
  <si>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</si>
  <si>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</si>
  <si>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</si>
  <si>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</si>
  <si>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</si>
  <si>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</si>
  <si>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</si>
  <si>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</si>
  <si>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</si>
  <si>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</si>
  <si>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</si>
  <si>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</si>
  <si>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</si>
  <si>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</si>
  <si>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</si>
  <si>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</si>
  <si>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</si>
  <si>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</si>
  <si>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</si>
  <si>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</si>
  <si>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</si>
  <si>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</si>
  <si>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</si>
  <si>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</si>
  <si>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</si>
  <si>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</si>
  <si>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</si>
  <si>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</si>
  <si>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</si>
  <si>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</si>
  <si>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</si>
  <si>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</si>
  <si>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</si>
  <si>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</si>
  <si>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</si>
  <si>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</si>
  <si>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</si>
  <si>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</si>
  <si>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</si>
  <si>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</si>
  <si>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</si>
  <si>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</si>
  <si>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</si>
  <si>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</si>
  <si>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</si>
  <si>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</si>
  <si>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</si>
  <si>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</si>
  <si>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</si>
  <si>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</si>
  <si>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</si>
  <si>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</si>
  <si>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</si>
  <si>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</si>
  <si>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</si>
  <si>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</si>
  <si>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</si>
  <si>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</si>
  <si>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</si>
  <si>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</si>
  <si>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</si>
  <si>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</si>
  <si>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</si>
  <si>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</si>
  <si>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</si>
  <si>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</si>
  <si>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</si>
  <si>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</si>
  <si>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</si>
  <si>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</si>
  <si>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</si>
  <si>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</si>
  <si>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</si>
  <si>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</si>
  <si>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</si>
  <si>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</si>
  <si>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</si>
  <si>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</si>
  <si>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</si>
  <si>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</si>
  <si>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</si>
  <si>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</si>
  <si>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</si>
  <si>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</si>
  <si>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</si>
  <si>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</si>
  <si>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</si>
  <si>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</si>
  <si>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</si>
  <si>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</si>
  <si>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</si>
  <si>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</si>
  <si>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</si>
  <si>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</si>
  <si>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</si>
  <si>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</si>
  <si>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</si>
  <si>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</si>
  <si>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</si>
  <si>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</si>
  <si>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</si>
  <si>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</si>
  <si>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</si>
  <si>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</si>
  <si>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</si>
  <si>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</si>
  <si>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</si>
  <si>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</si>
  <si>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</si>
  <si>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</si>
  <si>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</si>
  <si>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</si>
  <si>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</si>
  <si>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</si>
  <si>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</si>
  <si>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</si>
  <si>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</si>
  <si>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</si>
  <si>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</si>
  <si>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</si>
  <si>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</si>
  <si>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</si>
  <si>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</si>
  <si>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</si>
  <si>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</si>
  <si>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</si>
  <si>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</si>
  <si>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</si>
  <si>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</si>
  <si>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</si>
  <si>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</si>
  <si>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</si>
  <si>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</si>
  <si>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</si>
  <si>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</si>
  <si>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</si>
  <si>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</si>
  <si>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</si>
  <si>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</si>
  <si>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</si>
  <si>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</si>
  <si>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</si>
  <si>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</si>
  <si>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</si>
  <si>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</si>
  <si>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</si>
  <si>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</si>
  <si>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</si>
  <si>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</si>
  <si>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</si>
  <si>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</si>
  <si>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</si>
  <si>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</si>
  <si>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</si>
  <si>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</si>
  <si>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</si>
  <si>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</si>
  <si>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</si>
  <si>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</si>
  <si>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</si>
  <si>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</si>
  <si>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</si>
  <si>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</si>
  <si>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</si>
  <si>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</si>
  <si>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</si>
  <si>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</si>
  <si>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</si>
  <si>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</si>
  <si>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</si>
  <si>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</si>
  <si>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</si>
  <si>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</si>
  <si>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</si>
  <si>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</si>
  <si>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</si>
  <si>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</si>
  <si>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</si>
  <si>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</si>
  <si>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</si>
  <si>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</si>
  <si>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</si>
  <si>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</si>
  <si>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</si>
  <si>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</si>
  <si>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</si>
  <si>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</si>
  <si>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</si>
  <si>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</si>
  <si>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</si>
  <si>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</si>
  <si>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</si>
  <si>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</si>
  <si>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</si>
  <si>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</si>
  <si>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</si>
  <si>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</si>
  <si>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</si>
  <si>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</si>
  <si>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</si>
  <si>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</si>
  <si>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</si>
  <si>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</si>
  <si>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</si>
  <si>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</si>
  <si>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</si>
  <si>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</si>
  <si>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</si>
  <si>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</si>
  <si>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</si>
  <si>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</si>
  <si>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</si>
  <si>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</si>
  <si>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</si>
  <si>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</si>
  <si>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</si>
  <si>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</si>
  <si>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</si>
  <si>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</si>
  <si>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</si>
  <si>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</si>
  <si>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</si>
  <si>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</si>
  <si>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</si>
  <si>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</si>
  <si>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</si>
  <si>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</si>
  <si>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</si>
  <si>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</si>
  <si>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</si>
  <si>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</si>
  <si>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</si>
  <si>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</si>
  <si>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</si>
  <si>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</si>
  <si>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</si>
  <si>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</si>
  <si>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</si>
  <si>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</si>
  <si>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</si>
  <si>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</si>
  <si>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</si>
  <si>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</si>
  <si>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</si>
  <si>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</si>
  <si>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</si>
  <si>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</si>
  <si>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</si>
  <si>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</si>
  <si>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</si>
  <si>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</si>
  <si>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</si>
  <si>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</si>
  <si>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</si>
  <si>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</si>
  <si>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</si>
  <si>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</si>
  <si>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</si>
  <si>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</si>
  <si>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</si>
  <si>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</si>
  <si>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</si>
  <si>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</si>
  <si>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</si>
  <si>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</si>
  <si>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</si>
  <si>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</si>
  <si>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</si>
  <si>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</si>
  <si>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</si>
  <si>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</si>
  <si>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</si>
  <si>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</si>
  <si>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</si>
  <si>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</si>
  <si>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</si>
  <si>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</si>
  <si>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</si>
  <si>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</si>
  <si>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</si>
  <si>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</si>
  <si>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</si>
  <si>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</si>
  <si>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</si>
  <si>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</si>
  <si>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</si>
  <si>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</si>
  <si>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</si>
  <si>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</si>
  <si>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</si>
  <si>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</si>
  <si>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</si>
  <si>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</si>
  <si>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</si>
  <si>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</si>
  <si>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</si>
  <si>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</si>
  <si>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</si>
  <si>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</si>
  <si>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</si>
  <si>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</si>
  <si>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</si>
  <si>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</si>
  <si>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</si>
  <si>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</si>
  <si>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</si>
  <si>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</si>
  <si>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</si>
  <si>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</si>
  <si>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</si>
  <si>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</si>
  <si>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</si>
  <si>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</si>
  <si>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</si>
  <si>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</si>
  <si>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</si>
  <si>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</si>
  <si>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</si>
  <si>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</si>
  <si>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</si>
  <si>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</si>
  <si>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</si>
  <si>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</si>
  <si>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</si>
  <si>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</si>
  <si>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</si>
  <si>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</si>
  <si>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</si>
  <si>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</si>
  <si>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</si>
  <si>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</si>
  <si>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</si>
  <si>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</si>
  <si>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</si>
  <si>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</si>
  <si>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</si>
  <si>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</si>
  <si>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</si>
  <si>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</si>
  <si>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</si>
  <si>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</si>
  <si>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</si>
  <si>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</si>
  <si>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</si>
  <si>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</si>
  <si>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</si>
  <si>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</si>
  <si>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</si>
  <si>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</si>
  <si>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</si>
  <si>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</si>
  <si>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</si>
  <si>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</si>
  <si>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</si>
  <si>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</si>
  <si>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</si>
  <si>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</si>
  <si>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</si>
  <si>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</si>
  <si>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</si>
  <si>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</si>
  <si>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</si>
  <si>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</si>
  <si>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</si>
  <si>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</si>
  <si>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</si>
  <si>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</si>
  <si>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</si>
  <si>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</si>
  <si>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</si>
  <si>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</si>
  <si>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</si>
  <si>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</si>
  <si>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</si>
  <si>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</si>
  <si>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</si>
  <si>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</si>
  <si>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</si>
  <si>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</si>
  <si>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</si>
  <si>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</si>
  <si>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</si>
  <si>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</si>
  <si>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</si>
  <si>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</si>
  <si>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</si>
  <si>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</si>
  <si>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</si>
  <si>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</si>
  <si>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</si>
  <si>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</si>
  <si>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</si>
  <si>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</si>
  <si>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</si>
  <si>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</si>
  <si>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</si>
  <si>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</si>
  <si>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</si>
  <si>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</si>
  <si>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</si>
  <si>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</si>
  <si>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</si>
  <si>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</si>
  <si>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</si>
  <si>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</si>
  <si>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</si>
  <si>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</si>
  <si>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</si>
  <si>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</si>
  <si>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</si>
  <si>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</si>
  <si>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</si>
  <si>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</si>
  <si>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</si>
  <si>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</si>
  <si>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</si>
  <si>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</si>
  <si>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</si>
  <si>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</si>
  <si>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</si>
  <si>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</si>
  <si>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</si>
  <si>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</si>
  <si>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</si>
  <si>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</si>
  <si>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</si>
  <si>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</si>
  <si>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</si>
  <si>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</si>
  <si>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</si>
  <si>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</si>
  <si>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</si>
  <si>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</si>
  <si>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</si>
  <si>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</si>
  <si>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</si>
  <si>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</si>
  <si>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</si>
  <si>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</si>
  <si>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</si>
  <si>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</si>
  <si>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</si>
  <si>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</si>
  <si>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</si>
  <si>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</si>
  <si>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</si>
  <si>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</si>
  <si>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</si>
  <si>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</si>
  <si>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</si>
  <si>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</si>
  <si>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</si>
  <si>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</si>
  <si>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</si>
  <si>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</si>
  <si>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</si>
  <si>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</si>
  <si>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</si>
  <si>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</si>
  <si>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</si>
  <si>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</si>
  <si>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</si>
  <si>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</si>
  <si>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</si>
  <si>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</si>
  <si>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</si>
  <si>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</si>
  <si>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</si>
  <si>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</si>
  <si>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</si>
  <si>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</si>
  <si>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</si>
  <si>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</si>
  <si>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</si>
  <si>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</si>
  <si>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</si>
  <si>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</si>
  <si>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</si>
  <si>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</si>
  <si>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</si>
  <si>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</si>
  <si>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</si>
  <si>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</si>
  <si>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</si>
  <si>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</si>
  <si>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</si>
  <si>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</si>
  <si>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</si>
  <si>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</si>
  <si>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</si>
  <si>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</si>
  <si>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</si>
  <si>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</si>
  <si>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</si>
  <si>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</si>
  <si>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</si>
  <si>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</si>
  <si>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</si>
  <si>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</si>
  <si>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</si>
  <si>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</si>
  <si>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</si>
  <si>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</si>
  <si>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</si>
  <si>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</si>
  <si>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</si>
  <si>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</si>
  <si>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</si>
  <si>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</si>
  <si>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</si>
  <si>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</si>
  <si>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</si>
  <si>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</si>
  <si>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</si>
  <si>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</si>
  <si>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</si>
  <si>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</si>
  <si>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</si>
  <si>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</si>
  <si>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</si>
  <si>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</si>
  <si>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</si>
  <si>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</si>
  <si>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</si>
  <si>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</si>
  <si>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</si>
  <si>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</si>
  <si>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</si>
  <si>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</si>
  <si>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</si>
  <si>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</si>
  <si>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</si>
  <si>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</si>
  <si>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</si>
  <si>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</si>
  <si>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</si>
  <si>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</si>
  <si>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</si>
  <si>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</si>
  <si>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</si>
  <si>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</si>
  <si>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</si>
  <si>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</si>
  <si>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</si>
  <si>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</si>
  <si>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</si>
  <si>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</si>
  <si>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</si>
  <si>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</si>
  <si>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</si>
  <si>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</si>
  <si>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</si>
  <si>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</si>
  <si>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</si>
  <si>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</si>
  <si>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</si>
  <si>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</si>
  <si>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</si>
  <si>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</si>
  <si>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</si>
  <si>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</si>
  <si>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</si>
  <si>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</si>
  <si>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</si>
  <si>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</si>
  <si>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</si>
  <si>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</si>
  <si>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</si>
  <si>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</si>
  <si>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</si>
  <si>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</si>
  <si>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</si>
  <si>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</si>
  <si>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</si>
  <si>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</si>
  <si>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</si>
  <si>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</si>
  <si>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</si>
  <si>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</si>
  <si>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</si>
  <si>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</si>
  <si>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</si>
  <si>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</si>
  <si>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</si>
  <si>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</si>
  <si>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</si>
  <si>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</si>
  <si>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</si>
  <si>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</si>
  <si>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</si>
  <si>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</si>
  <si>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</si>
  <si>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</si>
  <si>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</si>
  <si>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</si>
  <si>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</si>
  <si>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</si>
  <si>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</si>
  <si>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</si>
  <si>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</si>
  <si>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</si>
  <si>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</si>
  <si>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</si>
  <si>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</si>
  <si>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</si>
  <si>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</si>
  <si>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</si>
  <si>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</si>
  <si>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</si>
  <si>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</si>
  <si>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</si>
  <si>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</si>
  <si>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</si>
  <si>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</si>
  <si>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</si>
  <si>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</si>
  <si>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</si>
  <si>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</si>
  <si>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</si>
  <si>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</si>
  <si>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</si>
  <si>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</si>
  <si>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</si>
  <si>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</si>
  <si>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</si>
  <si>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</si>
  <si>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</si>
  <si>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</si>
  <si>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</si>
  <si>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</si>
  <si>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</si>
  <si>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</si>
  <si>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</si>
  <si>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</si>
  <si>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</si>
  <si>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</si>
  <si>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</si>
  <si>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</si>
  <si>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</si>
  <si>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</si>
  <si>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</si>
  <si>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</si>
  <si>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</si>
  <si>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</si>
  <si>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</si>
  <si>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</si>
  <si>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</si>
  <si>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</si>
  <si>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</si>
  <si>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</si>
  <si>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</si>
  <si>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</si>
  <si>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</si>
  <si>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</si>
  <si>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</si>
  <si>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</si>
  <si>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</si>
  <si>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</si>
  <si>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</si>
  <si>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</si>
  <si>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</si>
  <si>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</si>
  <si>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</si>
  <si>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</si>
  <si>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</si>
  <si>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</si>
  <si>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</si>
  <si>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</si>
  <si>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</si>
  <si>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</si>
  <si>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</si>
  <si>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</si>
  <si>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</si>
  <si>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</si>
  <si>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</si>
  <si>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</si>
  <si>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</si>
  <si>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</si>
  <si>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</si>
  <si>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</si>
  <si>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</si>
  <si>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</si>
  <si>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</si>
  <si>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</si>
  <si>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</si>
  <si>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</si>
  <si>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</si>
  <si>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</si>
  <si>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</si>
  <si>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</si>
  <si>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</si>
  <si>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</si>
  <si>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</si>
  <si>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</si>
  <si>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</si>
  <si>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</si>
  <si>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</si>
  <si>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</si>
  <si>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</si>
  <si>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</si>
  <si>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</si>
  <si>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</si>
  <si>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</si>
  <si>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</si>
  <si>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</si>
  <si>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</si>
  <si>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</si>
  <si>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</si>
  <si>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</si>
  <si>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</si>
  <si>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</si>
  <si>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</si>
  <si>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</si>
  <si>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</si>
  <si>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</si>
  <si>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</si>
  <si>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</si>
  <si>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</si>
  <si>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</si>
  <si>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</si>
  <si>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</si>
  <si>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</si>
  <si>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</si>
  <si>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</si>
  <si>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</si>
  <si>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</si>
  <si>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</si>
  <si>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</si>
  <si>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</si>
  <si>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</si>
  <si>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</si>
  <si>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</si>
  <si>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</si>
  <si>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</si>
  <si>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</si>
  <si>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</si>
  <si>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</si>
  <si>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</si>
  <si>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</si>
  <si>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</si>
  <si>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</si>
  <si>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</si>
  <si>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</si>
  <si>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</si>
  <si>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</si>
  <si>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</si>
  <si>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</si>
  <si>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</si>
  <si>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</si>
  <si>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</si>
  <si>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</si>
  <si>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</si>
  <si>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</si>
  <si>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</si>
  <si>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</si>
  <si>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</si>
  <si>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</si>
  <si>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</si>
  <si>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</si>
  <si>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</si>
  <si>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</si>
  <si>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</si>
  <si>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</si>
  <si>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</si>
  <si>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</si>
  <si>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</si>
  <si>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</si>
  <si>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</si>
  <si>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</si>
  <si>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</si>
  <si>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</si>
  <si>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</si>
  <si>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</si>
  <si>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</si>
  <si>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</si>
  <si>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</si>
  <si>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</si>
  <si>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</si>
  <si>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</si>
  <si>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</si>
  <si>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</si>
  <si>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</si>
  <si>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</si>
  <si>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</si>
  <si>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</si>
  <si>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</si>
  <si>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</si>
  <si>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</si>
  <si>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</si>
  <si>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</si>
  <si>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</si>
  <si>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</si>
  <si>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</si>
  <si>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</si>
  <si>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</si>
  <si>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</si>
  <si>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</si>
  <si>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</si>
  <si>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</si>
  <si>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</si>
  <si>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</si>
  <si>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</si>
  <si>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</si>
  <si>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</si>
  <si>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</si>
  <si>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</si>
  <si>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</si>
  <si>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</si>
  <si>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</si>
  <si>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</si>
  <si>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</si>
  <si>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</si>
  <si>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</si>
  <si>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</si>
  <si>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</si>
  <si>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</si>
  <si>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</si>
  <si>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</si>
  <si>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</si>
  <si>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</si>
  <si>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</si>
  <si>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</si>
  <si>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</si>
  <si>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</si>
  <si>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</si>
  <si>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</si>
  <si>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</si>
  <si>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</si>
  <si>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</si>
  <si>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</si>
  <si>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</si>
  <si>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</si>
  <si>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</si>
  <si>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</si>
  <si>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</si>
  <si>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</si>
  <si>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</si>
  <si>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</si>
  <si>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</si>
  <si>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</si>
  <si>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</si>
  <si>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</si>
  <si>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</si>
  <si>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</si>
  <si>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</si>
  <si>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</si>
  <si>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</si>
  <si>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</si>
  <si>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</si>
  <si>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</si>
  <si>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</si>
  <si>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</si>
  <si>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</si>
  <si>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</si>
  <si>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</si>
  <si>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</si>
  <si>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</si>
  <si>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</si>
  <si>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</si>
  <si>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</si>
  <si>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</si>
  <si>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</si>
  <si>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</si>
  <si>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</si>
  <si>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</si>
  <si>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</si>
  <si>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</si>
  <si>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</si>
  <si>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</si>
  <si>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</si>
  <si>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</si>
  <si>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</si>
  <si>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</si>
  <si>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</si>
  <si>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</si>
  <si>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</si>
  <si>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</si>
  <si>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</si>
  <si>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</si>
  <si>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</si>
  <si>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</si>
  <si>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</si>
  <si>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</si>
  <si>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</si>
  <si>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</si>
  <si>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</si>
  <si>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</si>
  <si>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</si>
  <si>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</si>
  <si>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</si>
  <si>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</si>
  <si>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</si>
  <si>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</si>
  <si>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</si>
  <si>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</si>
  <si>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</si>
  <si>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</si>
  <si>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</si>
  <si>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</si>
  <si>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</si>
  <si>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</si>
  <si>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</si>
  <si>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</si>
  <si>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</si>
  <si>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</si>
  <si>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</si>
  <si>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</si>
  <si>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</si>
  <si>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</si>
  <si>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</si>
  <si>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</si>
  <si>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</si>
  <si>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</si>
  <si>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</si>
  <si>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</si>
  <si>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</si>
  <si>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</si>
  <si>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</si>
  <si>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</si>
  <si>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</si>
  <si>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</si>
  <si>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</si>
  <si>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</si>
  <si>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</si>
  <si>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</si>
  <si>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</si>
  <si>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</si>
  <si>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</si>
  <si>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</si>
  <si>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</si>
  <si>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</si>
  <si>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</si>
  <si>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</si>
  <si>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</si>
  <si>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</si>
  <si>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</si>
  <si>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</si>
  <si>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</si>
  <si>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</si>
  <si>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</si>
  <si>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</si>
  <si>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</si>
  <si>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</si>
  <si>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</si>
  <si>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</si>
  <si>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</si>
  <si>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</si>
  <si>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</si>
  <si>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</si>
  <si>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</si>
  <si>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</si>
  <si>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</si>
  <si>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</si>
  <si>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</si>
  <si>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</si>
  <si>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</si>
  <si>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</si>
  <si>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</si>
  <si>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</si>
  <si>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</si>
  <si>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</si>
  <si>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</si>
  <si>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</si>
  <si>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</si>
  <si>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</si>
  <si>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</si>
  <si>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</si>
  <si>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</si>
  <si>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</si>
  <si>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</si>
  <si>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</si>
  <si>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</si>
  <si>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</si>
  <si>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</si>
  <si>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</si>
  <si>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</si>
  <si>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</si>
  <si>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</si>
  <si>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</si>
  <si>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</si>
  <si>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</si>
  <si>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</si>
  <si>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</si>
  <si>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</si>
  <si>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</si>
  <si>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</si>
  <si>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</si>
  <si>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</si>
  <si>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</si>
  <si>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</si>
  <si>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</si>
  <si>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</si>
  <si>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</si>
  <si>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</si>
  <si>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</si>
  <si>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</si>
  <si>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</si>
  <si>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</si>
  <si>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</si>
  <si>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</si>
  <si>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</si>
  <si>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</si>
  <si>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</si>
  <si>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</si>
  <si>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</si>
  <si>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</si>
  <si>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</si>
  <si>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</si>
  <si>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</si>
  <si>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</si>
  <si>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</si>
  <si>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</si>
  <si>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</si>
  <si>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</si>
  <si>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</si>
  <si>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</si>
  <si>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</si>
  <si>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</si>
  <si>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</si>
  <si>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</si>
  <si>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</si>
  <si>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</si>
  <si>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</si>
  <si>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</si>
  <si>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</si>
  <si>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</si>
  <si>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</si>
  <si>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</si>
  <si>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</si>
  <si>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</si>
  <si>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</si>
  <si>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</si>
  <si>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</si>
  <si>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</si>
  <si>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</si>
  <si>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</si>
  <si>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</si>
  <si>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</si>
  <si>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</si>
  <si>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</si>
  <si>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</si>
  <si>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</si>
  <si>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</si>
  <si>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</si>
  <si>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</si>
  <si>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</si>
  <si>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</si>
  <si>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</si>
  <si>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</si>
  <si>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</si>
  <si>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</si>
  <si>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</si>
  <si>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</si>
  <si>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</si>
  <si>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</si>
  <si>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</si>
  <si>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</si>
  <si>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</si>
  <si>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</si>
  <si>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</si>
  <si>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</si>
  <si>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</si>
  <si>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</si>
  <si>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</si>
  <si>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</si>
  <si>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</si>
  <si>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</si>
  <si>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</si>
  <si>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</si>
  <si>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</si>
  <si>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</si>
  <si>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</si>
  <si>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</si>
  <si>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</si>
  <si>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</si>
  <si>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</si>
  <si>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</si>
  <si>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</si>
  <si>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</si>
  <si>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</si>
  <si>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</si>
  <si>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</si>
  <si>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</si>
  <si>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</si>
  <si>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</si>
  <si>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</si>
  <si>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</si>
  <si>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</si>
  <si>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</si>
  <si>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</si>
  <si>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</si>
  <si>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</si>
  <si>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</si>
  <si>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</si>
  <si>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</si>
  <si>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</si>
  <si>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</si>
  <si>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</si>
  <si>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</si>
  <si>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</si>
  <si>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</si>
  <si>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</si>
  <si>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</si>
  <si>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</si>
  <si>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</si>
  <si>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</si>
  <si>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</si>
  <si>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</si>
  <si>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</si>
  <si>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</si>
  <si>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</si>
  <si>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</si>
  <si>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</si>
  <si>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</si>
  <si>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</si>
  <si>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</si>
  <si>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</si>
  <si>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</si>
  <si>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</si>
  <si>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</si>
  <si>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</si>
  <si>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</si>
  <si>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</si>
  <si>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</si>
  <si>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</si>
  <si>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</si>
  <si>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</si>
  <si>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</si>
  <si>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</si>
  <si>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</si>
  <si>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</si>
  <si>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</si>
  <si>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</si>
  <si>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</si>
  <si>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</si>
  <si>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</si>
  <si>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</si>
  <si>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</si>
  <si>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</si>
  <si>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</si>
  <si>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</si>
  <si>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</si>
  <si>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</si>
  <si>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</si>
  <si>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</si>
  <si>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</si>
  <si>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</si>
  <si>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</si>
  <si>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</si>
  <si>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</si>
  <si>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</si>
  <si>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</si>
  <si>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</si>
  <si>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</si>
  <si>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</si>
  <si>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</si>
  <si>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</si>
  <si>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</si>
  <si>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</si>
  <si>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</si>
  <si>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</si>
  <si>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</si>
  <si>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</si>
  <si>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</si>
  <si>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</si>
  <si>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</si>
  <si>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</si>
  <si>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</si>
  <si>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</si>
  <si>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</si>
  <si>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</si>
  <si>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</si>
  <si>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</si>
  <si>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</si>
  <si>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</si>
  <si>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</si>
  <si>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</si>
  <si>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</si>
  <si>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</si>
  <si>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</si>
  <si>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</si>
  <si>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</si>
  <si>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</si>
  <si>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</si>
  <si>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</si>
  <si>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</si>
  <si>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</si>
  <si>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</si>
  <si>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</si>
  <si>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</si>
  <si>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</si>
  <si>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</si>
  <si>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</si>
  <si>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</si>
  <si>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</si>
  <si>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</si>
  <si>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</si>
  <si>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</si>
  <si>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</si>
  <si>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</si>
  <si>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</si>
  <si>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</si>
  <si>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</si>
  <si>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</si>
  <si>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</si>
  <si>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</si>
  <si>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</si>
  <si>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</si>
  <si>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</si>
  <si>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</si>
  <si>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</si>
  <si>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</si>
  <si>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</si>
  <si>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</si>
  <si>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</si>
  <si>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</si>
  <si>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</si>
  <si>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</si>
  <si>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</si>
  <si>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</si>
  <si>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</si>
  <si>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</si>
  <si>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</si>
  <si>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</si>
  <si>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</si>
  <si>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</si>
  <si>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</si>
  <si>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</si>
  <si>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</si>
  <si>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</si>
  <si>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</si>
  <si>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</si>
  <si>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</si>
  <si>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</si>
  <si>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</si>
  <si>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</si>
  <si>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</si>
  <si>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</si>
  <si>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</si>
  <si>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</si>
  <si>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</si>
  <si>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</si>
  <si>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</si>
  <si>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</si>
  <si>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</si>
  <si>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</si>
  <si>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</si>
  <si>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</si>
  <si>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</si>
  <si>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</si>
  <si>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</si>
  <si>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</si>
  <si>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</si>
  <si>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</si>
  <si>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</si>
  <si>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</si>
  <si>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</si>
  <si>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</si>
  <si>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</si>
  <si>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</si>
  <si>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</si>
  <si>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</si>
  <si>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</si>
  <si>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</si>
  <si>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</si>
  <si>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</si>
  <si>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</si>
  <si>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</si>
  <si>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</si>
  <si>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</si>
  <si>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</si>
  <si>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</si>
  <si>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</si>
  <si>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</si>
  <si>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</si>
  <si>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</si>
  <si>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</si>
  <si>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</si>
  <si>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</si>
  <si>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</si>
  <si>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</si>
  <si>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</si>
  <si>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</si>
  <si>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</si>
  <si>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</si>
  <si>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</si>
  <si>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</si>
  <si>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</si>
  <si>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</si>
  <si>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</si>
  <si>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</si>
  <si>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</si>
  <si>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</si>
  <si>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</si>
  <si>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</si>
  <si>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</si>
  <si>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</si>
  <si>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</si>
  <si>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</si>
  <si>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</si>
  <si>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</si>
  <si>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</si>
  <si>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</si>
  <si>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</si>
  <si>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</si>
  <si>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</si>
  <si>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</si>
  <si>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</si>
  <si>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</si>
  <si>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</si>
  <si>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</si>
  <si>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</si>
  <si>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</si>
  <si>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</si>
  <si>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</si>
  <si>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</si>
  <si>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</si>
  <si>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</si>
  <si>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</si>
  <si>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</si>
  <si>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</si>
  <si>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</si>
  <si>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</si>
  <si>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</si>
  <si>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</si>
  <si>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</si>
  <si>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</si>
  <si>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</si>
  <si>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</si>
  <si>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</si>
  <si>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</si>
  <si>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</si>
  <si>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</si>
  <si>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</si>
  <si>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</si>
  <si>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</si>
  <si>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</si>
  <si>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</si>
  <si>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</si>
  <si>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</si>
  <si>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</si>
  <si>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</si>
  <si>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</si>
  <si>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</si>
  <si>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</si>
  <si>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</si>
  <si>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</si>
  <si>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</si>
  <si>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</si>
  <si>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</si>
  <si>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</si>
  <si>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</si>
  <si>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</si>
  <si>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</si>
  <si>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</si>
  <si>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</si>
  <si>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</si>
  <si>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</si>
  <si>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</si>
  <si>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</si>
  <si>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</si>
  <si>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</si>
  <si>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</si>
  <si>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</si>
  <si>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</si>
  <si>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</si>
  <si>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</si>
  <si>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</si>
  <si>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</si>
  <si>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</si>
  <si>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</si>
  <si>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</si>
  <si>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</si>
  <si>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</si>
  <si>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</si>
  <si>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</si>
  <si>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</si>
  <si>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</si>
  <si>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</si>
  <si>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</si>
  <si>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</si>
  <si>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</si>
  <si>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</si>
  <si>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</si>
  <si>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</si>
  <si>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</si>
  <si>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</si>
  <si>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</si>
  <si>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</si>
  <si>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</si>
  <si>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</si>
  <si>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</si>
  <si>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</si>
  <si>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</si>
  <si>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</si>
  <si>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</si>
  <si>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</si>
  <si>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</si>
  <si>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</si>
  <si>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</si>
  <si>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</si>
  <si>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</si>
  <si>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</si>
  <si>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</si>
  <si>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</si>
  <si>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</si>
  <si>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</si>
  <si>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</si>
  <si>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</si>
  <si>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</si>
  <si>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</si>
  <si>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</si>
  <si>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</si>
  <si>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</si>
  <si>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</si>
  <si>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</si>
  <si>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</si>
  <si>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</si>
  <si>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</si>
  <si>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</si>
  <si>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</si>
  <si>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</si>
  <si>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</si>
  <si>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</si>
  <si>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</si>
  <si>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</si>
  <si>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</si>
  <si>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</si>
  <si>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</si>
  <si>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</si>
  <si>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</si>
  <si>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</si>
  <si>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</si>
  <si>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</si>
  <si>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</si>
  <si>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</si>
  <si>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</si>
  <si>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</si>
  <si>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</si>
  <si>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</si>
  <si>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</si>
  <si>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</si>
  <si>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</si>
  <si>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</si>
  <si>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</si>
  <si>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</si>
  <si>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</si>
  <si>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</si>
  <si>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</si>
  <si>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</si>
  <si>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</si>
  <si>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</si>
  <si>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</si>
  <si>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</si>
  <si>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</si>
  <si>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</si>
  <si>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</si>
  <si>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</si>
  <si>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</si>
  <si>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</si>
  <si>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</si>
  <si>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</si>
  <si>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</si>
  <si>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</si>
  <si>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</si>
  <si>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</si>
  <si>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</si>
  <si>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</si>
  <si>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</si>
  <si>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</si>
  <si>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</si>
  <si>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</si>
  <si>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</si>
  <si>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</si>
  <si>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</si>
  <si>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</si>
  <si>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</si>
  <si>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</si>
  <si>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</si>
  <si>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</si>
  <si>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</si>
  <si>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</si>
  <si>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</si>
  <si>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</si>
  <si>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</si>
  <si>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</si>
  <si>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</si>
  <si>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</si>
  <si>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</si>
  <si>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</si>
  <si>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</si>
  <si>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</si>
  <si>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</si>
  <si>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</si>
  <si>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</si>
  <si>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</si>
  <si>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</si>
  <si>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</si>
  <si>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</si>
  <si>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</si>
  <si>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</si>
  <si>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</si>
  <si>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</si>
  <si>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</si>
  <si>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</si>
  <si>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</si>
  <si>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</si>
  <si>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</si>
  <si>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</si>
  <si>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</si>
  <si>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</si>
  <si>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</si>
  <si>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</si>
  <si>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</si>
  <si>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</si>
  <si>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</si>
  <si>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</si>
  <si>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</si>
  <si>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</si>
  <si>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</si>
  <si>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</si>
  <si>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</si>
  <si>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</si>
  <si>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</si>
  <si>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</si>
  <si>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</si>
  <si>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</si>
  <si>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</si>
  <si>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</si>
  <si>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</si>
  <si>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</si>
  <si>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</si>
  <si>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</si>
  <si>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</si>
  <si>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</si>
  <si>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</si>
  <si>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</si>
  <si>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</si>
  <si>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</si>
  <si>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</si>
  <si>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</si>
  <si>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</si>
  <si>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</si>
  <si>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</si>
  <si>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</si>
  <si>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</si>
  <si>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</si>
  <si>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</si>
  <si>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</si>
  <si>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</si>
  <si>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</si>
  <si>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</si>
  <si>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</si>
  <si>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</si>
  <si>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</si>
  <si>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</si>
  <si>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</si>
  <si>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</si>
  <si>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</si>
  <si>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</si>
  <si>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</si>
  <si>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</si>
  <si>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</si>
  <si>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</si>
  <si>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</si>
  <si>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</si>
  <si>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</si>
  <si>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</si>
  <si>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</si>
  <si>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</si>
  <si>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</si>
  <si>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</si>
  <si>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</si>
  <si>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</si>
  <si>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</si>
  <si>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</si>
  <si>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</si>
  <si>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</si>
  <si>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</si>
  <si>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</si>
  <si>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</si>
  <si>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</si>
  <si>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</si>
  <si>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</si>
  <si>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</si>
  <si>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</si>
  <si>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</si>
  <si>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</si>
  <si>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</si>
  <si>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</si>
  <si>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</si>
  <si>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</si>
  <si>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</si>
  <si>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</si>
  <si>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</si>
  <si>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</si>
  <si>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</si>
  <si>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</si>
  <si>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</si>
  <si>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</si>
  <si>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</si>
  <si>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</si>
  <si>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</si>
  <si>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</si>
  <si>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</si>
  <si>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</si>
  <si>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</si>
  <si>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</si>
  <si>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</si>
  <si>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</si>
  <si>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</si>
  <si>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</si>
  <si>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</si>
  <si>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</si>
  <si>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</si>
  <si>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</si>
  <si>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</si>
  <si>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</si>
  <si>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</si>
  <si>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</si>
  <si>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</si>
  <si>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</si>
  <si>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</si>
  <si>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</si>
  <si>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</si>
  <si>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</si>
  <si>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</si>
  <si>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</si>
  <si>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</si>
  <si>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</si>
  <si>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</si>
  <si>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</si>
  <si>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</si>
  <si>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</si>
  <si>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</si>
  <si>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</si>
  <si>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</si>
  <si>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</si>
  <si>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</si>
  <si>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</si>
  <si>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</si>
  <si>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</si>
  <si>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</si>
  <si>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</si>
  <si>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</si>
  <si>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</si>
  <si>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</si>
  <si>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</si>
  <si>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</si>
  <si>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</si>
  <si>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</si>
  <si>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</si>
  <si>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</si>
  <si>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</si>
  <si>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</si>
  <si>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</si>
  <si>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</si>
  <si>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</si>
  <si>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</si>
  <si>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</si>
  <si>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</si>
  <si>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</si>
  <si>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</si>
  <si>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</si>
  <si>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</si>
  <si>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</si>
  <si>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</si>
  <si>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</si>
  <si>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</si>
  <si>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</si>
  <si>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</si>
  <si>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</si>
  <si>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</si>
  <si>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</si>
  <si>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</si>
  <si>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</si>
  <si>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</si>
  <si>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</si>
  <si>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</si>
  <si>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</si>
  <si>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</si>
  <si>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</si>
  <si>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</si>
  <si>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</si>
  <si>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</si>
  <si>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</si>
  <si>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</si>
  <si>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</si>
  <si>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</si>
  <si>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</si>
  <si>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</si>
  <si>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</si>
  <si>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</si>
  <si>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</si>
  <si>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</si>
  <si>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</si>
  <si>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</si>
  <si>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</si>
  <si>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</si>
  <si>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</si>
  <si>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</si>
  <si>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</si>
  <si>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</si>
  <si>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</si>
  <si>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</si>
  <si>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</si>
  <si>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</si>
  <si>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</si>
  <si>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</si>
  <si>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</si>
  <si>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</si>
  <si>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</si>
  <si>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</si>
  <si>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</si>
  <si>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</si>
  <si>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</si>
  <si>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</si>
  <si>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</si>
  <si>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</si>
  <si>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</si>
  <si>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</si>
  <si>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</si>
  <si>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</si>
  <si>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</si>
  <si>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</si>
  <si>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</si>
  <si>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</si>
  <si>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</si>
  <si>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</si>
  <si>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</si>
  <si>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</si>
  <si>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</si>
  <si>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</si>
  <si>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</si>
  <si>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</si>
  <si>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</si>
  <si>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</si>
  <si>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</si>
  <si>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</si>
  <si>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</si>
  <si>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</si>
  <si>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</si>
  <si>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</si>
  <si>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</si>
  <si>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</si>
  <si>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</si>
  <si>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</si>
  <si>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</si>
  <si>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</si>
  <si>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</si>
  <si>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</si>
  <si>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</si>
  <si>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</si>
  <si>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</si>
  <si>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</si>
  <si>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</si>
  <si>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</si>
  <si>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</si>
  <si>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</si>
  <si>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</si>
  <si>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</si>
  <si>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</si>
  <si>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</si>
  <si>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</si>
  <si>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</si>
  <si>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</si>
  <si>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</si>
  <si>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</si>
  <si>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</si>
  <si>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</si>
  <si>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</si>
  <si>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</si>
  <si>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</si>
  <si>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</si>
  <si>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</si>
  <si>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</si>
  <si>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</si>
  <si>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</si>
  <si>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</si>
  <si>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</si>
  <si>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</si>
  <si>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</si>
  <si>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</si>
  <si>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</si>
  <si>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</si>
  <si>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</si>
  <si>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</si>
  <si>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</si>
  <si>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</si>
  <si>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</si>
  <si>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</si>
  <si>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</si>
  <si>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</si>
  <si>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</si>
  <si>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</si>
  <si>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</si>
  <si>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</si>
  <si>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</si>
  <si>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</si>
  <si>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</si>
  <si>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</si>
  <si>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</si>
  <si>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</si>
  <si>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</si>
  <si>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</si>
  <si>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</si>
  <si>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</si>
  <si>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</si>
  <si>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</si>
  <si>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</si>
  <si>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</si>
  <si>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</si>
  <si>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</si>
  <si>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</si>
  <si>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</si>
  <si>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</si>
  <si>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</si>
  <si>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</si>
  <si>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</si>
  <si>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</si>
  <si>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</si>
  <si>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</si>
  <si>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</si>
  <si>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</si>
  <si>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</si>
  <si>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</si>
  <si>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</si>
  <si>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</si>
  <si>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</si>
  <si>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</si>
  <si>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</si>
  <si>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</si>
  <si>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</si>
  <si>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</si>
  <si>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</si>
  <si>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</si>
  <si>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</si>
  <si>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</si>
  <si>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</si>
  <si>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</si>
  <si>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</si>
  <si>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</si>
  <si>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</si>
  <si>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</si>
  <si>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</si>
  <si>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</si>
  <si>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</si>
  <si>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</si>
  <si>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</si>
  <si>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</si>
  <si>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</si>
  <si>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</si>
  <si>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</si>
  <si>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</si>
  <si>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</si>
  <si>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</si>
  <si>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</si>
  <si>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</si>
  <si>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</si>
  <si>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</si>
  <si>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</si>
  <si>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</si>
  <si>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</si>
  <si>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</si>
  <si>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</si>
  <si>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</si>
  <si>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</si>
  <si>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</si>
  <si>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</si>
  <si>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</si>
  <si>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</si>
  <si>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</si>
  <si>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</si>
  <si>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</si>
  <si>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</si>
  <si>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</si>
  <si>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</si>
  <si>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</si>
  <si>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</si>
  <si>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</si>
  <si>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</si>
  <si>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</si>
  <si>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</si>
  <si>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</si>
  <si>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</si>
  <si>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</si>
  <si>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</si>
  <si>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</si>
  <si>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</si>
  <si>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</si>
  <si>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</si>
  <si>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</si>
  <si>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</si>
  <si>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</si>
  <si>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</si>
  <si>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</si>
  <si>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</si>
  <si>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</si>
  <si>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</si>
  <si>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</si>
  <si>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</si>
  <si>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</si>
  <si>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</si>
  <si>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</si>
  <si>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</si>
  <si>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</si>
  <si>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</si>
  <si>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</si>
  <si>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</si>
  <si>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</si>
  <si>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</si>
  <si>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</si>
  <si>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</si>
  <si>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</si>
  <si>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</si>
  <si>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</si>
  <si>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</si>
  <si>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</si>
  <si>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</si>
  <si>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</si>
  <si>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</si>
  <si>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</si>
  <si>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</si>
  <si>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</si>
  <si>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</si>
  <si>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</si>
  <si>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</si>
  <si>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</si>
  <si>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</si>
  <si>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</si>
  <si>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</si>
  <si>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</si>
  <si>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</si>
  <si>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</si>
  <si>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</si>
  <si>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</si>
  <si>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</si>
  <si>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</si>
  <si>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</si>
  <si>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</si>
  <si>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</si>
  <si>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</si>
  <si>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</si>
  <si>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</si>
  <si>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</si>
  <si>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</si>
  <si>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</si>
  <si>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</si>
  <si>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</si>
  <si>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</si>
  <si>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</si>
  <si>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</si>
  <si>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</si>
  <si>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</si>
  <si>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</si>
  <si>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</si>
  <si>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</si>
  <si>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</si>
  <si>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</si>
  <si>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</si>
  <si>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</si>
  <si>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</si>
  <si>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</si>
  <si>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</si>
  <si>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</si>
  <si>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</si>
  <si>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</si>
  <si>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</si>
  <si>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</si>
  <si>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</si>
  <si>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</si>
  <si>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</si>
  <si>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</si>
  <si>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</si>
  <si>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</si>
  <si>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</si>
  <si>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</si>
  <si>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</si>
  <si>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</si>
  <si>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</si>
  <si>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</si>
  <si>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</si>
  <si>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</si>
  <si>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</si>
  <si>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</si>
  <si>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</si>
  <si>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</si>
  <si>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</si>
  <si>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</si>
  <si>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</si>
  <si>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</si>
  <si>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</si>
  <si>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</si>
  <si>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</si>
  <si>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</si>
  <si>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</si>
  <si>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</si>
  <si>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</si>
  <si>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</si>
  <si>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</si>
  <si>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</si>
  <si>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</si>
  <si>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</si>
  <si>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</si>
  <si>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</si>
  <si>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</si>
  <si>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</si>
  <si>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</si>
  <si>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</si>
  <si>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</si>
  <si>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</si>
  <si>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</si>
  <si>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</si>
  <si>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</si>
  <si>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</si>
  <si>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</si>
  <si>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</si>
  <si>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</si>
  <si>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</si>
  <si>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</si>
  <si>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</si>
  <si>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</si>
  <si>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</si>
  <si>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</si>
  <si>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</si>
  <si>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</si>
  <si>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</si>
  <si>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</si>
  <si>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</si>
  <si>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</si>
  <si>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</si>
  <si>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</si>
  <si>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</si>
  <si>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</si>
  <si>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</si>
  <si>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</si>
  <si>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</si>
  <si>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</si>
  <si>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</si>
  <si>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</si>
  <si>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</si>
  <si>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</si>
  <si>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</si>
  <si>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</si>
  <si>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</si>
  <si>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</si>
  <si>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</si>
  <si>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</si>
  <si>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</si>
  <si>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</si>
  <si>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</si>
  <si>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</si>
  <si>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</si>
  <si>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</si>
  <si>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</si>
  <si>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</si>
  <si>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</si>
  <si>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</si>
  <si>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</si>
  <si>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</si>
  <si>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</si>
  <si>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</si>
  <si>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</si>
  <si>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</si>
  <si>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</si>
  <si>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</si>
  <si>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</si>
  <si>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</si>
  <si>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</si>
  <si>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</si>
  <si>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</si>
  <si>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</si>
  <si>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</si>
  <si>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</si>
  <si>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</si>
  <si>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</si>
  <si>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</si>
  <si>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</si>
  <si>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</si>
  <si>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</si>
  <si>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</si>
  <si>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</si>
  <si>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</si>
  <si>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</si>
  <si>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</si>
  <si>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</si>
  <si>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</si>
  <si>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</si>
  <si>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</si>
  <si>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</si>
  <si>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</si>
  <si>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</si>
  <si>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</si>
  <si>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</si>
  <si>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</si>
  <si>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</si>
  <si>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</si>
  <si>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</si>
  <si>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</si>
  <si>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</si>
  <si>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</si>
  <si>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</si>
  <si>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</si>
  <si>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</si>
  <si>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</si>
  <si>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</si>
  <si>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</si>
  <si>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</si>
  <si>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</si>
  <si>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</si>
  <si>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</si>
  <si>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</si>
  <si>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</si>
  <si>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</si>
  <si>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</si>
  <si>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</si>
  <si>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</si>
  <si>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</si>
  <si>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</si>
  <si>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</si>
  <si>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</si>
  <si>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</si>
  <si>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</si>
  <si>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</si>
  <si>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</si>
  <si>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</si>
  <si>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</si>
  <si>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</si>
  <si>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</si>
  <si>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</si>
  <si>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</si>
  <si>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</si>
  <si>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</si>
  <si>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</si>
  <si>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</si>
  <si>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</si>
  <si>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</si>
  <si>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</si>
  <si>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</si>
  <si>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</si>
  <si>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</si>
  <si>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</si>
  <si>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</si>
  <si>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</si>
  <si>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</si>
  <si>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</si>
  <si>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</si>
  <si>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</si>
  <si>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</si>
  <si>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</si>
  <si>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</si>
  <si>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</si>
  <si>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</si>
  <si>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</si>
  <si>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</si>
  <si>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</si>
  <si>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</si>
  <si>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</si>
  <si>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</si>
  <si>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</si>
  <si>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</si>
  <si>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</si>
  <si>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</si>
  <si>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</si>
  <si>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</si>
  <si>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</si>
  <si>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</si>
  <si>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</si>
  <si>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</si>
  <si>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</si>
  <si>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</si>
  <si>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</si>
  <si>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</si>
  <si>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</si>
  <si>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</si>
  <si>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</si>
  <si>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</si>
  <si>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</si>
  <si>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</si>
  <si>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</si>
  <si>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</si>
  <si>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</si>
  <si>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</si>
  <si>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</si>
  <si>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</si>
  <si>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</si>
  <si>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</si>
  <si>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</si>
  <si>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</si>
  <si>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</si>
  <si>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</si>
  <si>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</si>
  <si>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</si>
  <si>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</si>
  <si>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</si>
  <si>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</si>
  <si>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</si>
  <si>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</si>
  <si>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</si>
  <si>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</si>
  <si>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</si>
  <si>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</si>
  <si>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</si>
  <si>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</si>
  <si>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</si>
  <si>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</si>
  <si>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</si>
  <si>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</si>
  <si>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</si>
  <si>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</si>
  <si>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</si>
  <si>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</si>
  <si>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</si>
  <si>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</si>
  <si>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</si>
  <si>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</si>
  <si>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</si>
  <si>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</si>
  <si>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</si>
  <si>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</si>
  <si>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</si>
  <si>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</si>
  <si>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</si>
  <si>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</si>
  <si>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</si>
  <si>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</si>
  <si>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</si>
  <si>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</si>
  <si>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</si>
  <si>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</si>
  <si>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</si>
  <si>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</si>
  <si>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</si>
  <si>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</si>
  <si>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</si>
  <si>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</si>
  <si>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</si>
  <si>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</si>
  <si>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</si>
  <si>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</si>
  <si>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</si>
  <si>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</si>
  <si>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</si>
  <si>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</si>
  <si>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</si>
  <si>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</si>
  <si>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</si>
  <si>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</si>
  <si>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</si>
  <si>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</si>
  <si>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</si>
  <si>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</si>
  <si>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</si>
  <si>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</si>
  <si>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</si>
  <si>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</si>
  <si>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</si>
  <si>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</si>
  <si>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</si>
  <si>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</si>
  <si>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</si>
  <si>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</si>
  <si>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</si>
  <si>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</si>
  <si>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</si>
  <si>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</si>
  <si>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</si>
  <si>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</si>
  <si>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</si>
  <si>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</si>
  <si>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</si>
  <si>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</si>
  <si>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</si>
  <si>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</si>
  <si>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</si>
  <si>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</si>
  <si>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</si>
  <si>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</si>
  <si>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</si>
  <si>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</si>
  <si>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</si>
  <si>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</si>
  <si>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</si>
  <si>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</si>
  <si>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</si>
  <si>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</si>
  <si>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</si>
  <si>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</si>
  <si>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</si>
  <si>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</si>
  <si>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</si>
  <si>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</si>
  <si>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</si>
  <si>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</si>
  <si>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</si>
  <si>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</si>
  <si>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</si>
  <si>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</si>
  <si>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</si>
  <si>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</si>
  <si>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</si>
  <si>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</si>
  <si>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</si>
  <si>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</si>
  <si>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</si>
  <si>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</si>
  <si>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</si>
  <si>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</si>
  <si>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</si>
  <si>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</si>
  <si>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</si>
  <si>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</si>
  <si>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</si>
  <si>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</si>
  <si>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</si>
  <si>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</si>
  <si>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</si>
  <si>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</si>
  <si>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</si>
  <si>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</si>
  <si>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</si>
  <si>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</si>
  <si>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</si>
  <si>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</si>
  <si>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</si>
  <si>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</si>
  <si>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</si>
  <si>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</si>
  <si>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</si>
  <si>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</si>
  <si>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</si>
  <si>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</si>
  <si>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</si>
  <si>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</si>
  <si>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</si>
  <si>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</si>
  <si>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</si>
  <si>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</si>
  <si>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</si>
  <si>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</si>
  <si>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</si>
  <si>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</si>
  <si>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</si>
  <si>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</si>
  <si>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</si>
  <si>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</si>
  <si>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</si>
  <si>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</si>
  <si>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</si>
  <si>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</si>
  <si>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</si>
  <si>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</si>
  <si>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</si>
  <si>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</si>
  <si>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</si>
  <si>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</si>
  <si>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</si>
  <si>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</si>
  <si>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</si>
  <si>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</si>
  <si>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</si>
  <si>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</si>
  <si>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</si>
  <si>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</si>
  <si>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</si>
  <si>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</si>
  <si>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</si>
  <si>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</si>
  <si>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</si>
  <si>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</si>
  <si>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</si>
  <si>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</si>
  <si>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</si>
  <si>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</si>
  <si>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</si>
  <si>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</si>
  <si>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</si>
  <si>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</si>
  <si>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</si>
  <si>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</si>
  <si>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</si>
  <si>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</si>
  <si>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</si>
  <si>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</si>
  <si>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</si>
  <si>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</si>
  <si>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</si>
  <si>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</si>
  <si>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</si>
  <si>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</si>
  <si>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</si>
  <si>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</si>
  <si>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</si>
  <si>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</si>
  <si>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</si>
  <si>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</si>
  <si>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</si>
  <si>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</si>
  <si>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</si>
  <si>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</si>
  <si>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</si>
  <si>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</si>
  <si>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</si>
  <si>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</si>
  <si>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</si>
  <si>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</si>
  <si>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</si>
  <si>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</si>
  <si>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</si>
  <si>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</si>
  <si>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</si>
  <si>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</si>
  <si>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</si>
  <si>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</si>
  <si>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</si>
  <si>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</si>
  <si>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</si>
  <si>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</si>
  <si>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</si>
  <si>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</si>
  <si>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</si>
  <si>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</si>
  <si>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</si>
  <si>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</si>
  <si>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</si>
  <si>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</si>
  <si>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</si>
  <si>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</si>
  <si>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</si>
  <si>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</si>
  <si>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</si>
  <si>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</si>
  <si>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</si>
  <si>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</si>
  <si>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</si>
  <si>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</si>
  <si>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</si>
  <si>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</si>
  <si>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</si>
  <si>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</si>
  <si>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</si>
  <si>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</si>
  <si>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</si>
  <si>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</si>
  <si>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</si>
  <si>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</si>
  <si>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</si>
  <si>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</si>
  <si>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</si>
  <si>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</si>
  <si>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</si>
  <si>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</si>
  <si>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</si>
  <si>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</si>
  <si>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</si>
  <si>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</si>
  <si>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</si>
  <si>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</si>
  <si>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</si>
  <si>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</si>
  <si>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</si>
  <si>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</si>
  <si>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</si>
  <si>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</si>
  <si>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</si>
  <si>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</si>
  <si>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</si>
  <si>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</si>
  <si>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</si>
  <si>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</si>
  <si>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</si>
  <si>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</si>
  <si>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</si>
  <si>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</si>
  <si>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</si>
  <si>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</si>
  <si>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</si>
  <si>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</si>
  <si>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</si>
  <si>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</si>
  <si>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</si>
  <si>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</si>
  <si>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</si>
  <si>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</si>
  <si>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</si>
  <si>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</si>
  <si>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</si>
  <si>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</si>
  <si>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</si>
  <si>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</si>
  <si>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</si>
  <si>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</si>
  <si>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</si>
  <si>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</si>
  <si>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</si>
  <si>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</si>
  <si>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</si>
  <si>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</si>
  <si>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</si>
  <si>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</si>
  <si>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</si>
  <si>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</si>
  <si>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</si>
  <si>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</si>
  <si>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</si>
  <si>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</si>
  <si>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</si>
  <si>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</si>
  <si>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</si>
  <si>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</si>
  <si>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</si>
  <si>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</si>
  <si>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</si>
  <si>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</si>
  <si>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</si>
  <si>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</si>
  <si>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</si>
  <si>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</si>
  <si>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</si>
  <si>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</si>
  <si>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</si>
  <si>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</si>
  <si>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</si>
  <si>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</si>
  <si>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</si>
  <si>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</si>
  <si>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</si>
  <si>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</si>
  <si>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</si>
  <si>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</si>
  <si>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</si>
  <si>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</si>
  <si>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</si>
  <si>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</si>
  <si>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</si>
  <si>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</si>
  <si>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</si>
  <si>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</si>
  <si>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</si>
  <si>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</si>
  <si>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</si>
  <si>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</si>
  <si>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</si>
  <si>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</si>
  <si>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</si>
  <si>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</si>
  <si>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</si>
  <si>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</si>
  <si>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</si>
  <si>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</si>
  <si>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</si>
  <si>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</si>
  <si>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</si>
  <si>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</si>
  <si>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</si>
  <si>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</si>
  <si>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</si>
  <si>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</si>
  <si>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</si>
  <si>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</si>
  <si>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</si>
  <si>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</si>
  <si>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</si>
  <si>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</si>
  <si>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</si>
  <si>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</si>
  <si>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</si>
  <si>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</si>
  <si>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</si>
  <si>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</si>
  <si>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</si>
  <si>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</si>
  <si>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</si>
  <si>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</si>
  <si>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</si>
  <si>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</si>
  <si>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</si>
  <si>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</si>
  <si>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</si>
  <si>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</si>
  <si>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</si>
  <si>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</si>
  <si>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</si>
  <si>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</si>
  <si>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</si>
  <si>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</si>
  <si>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</si>
  <si>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</si>
  <si>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</si>
  <si>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</si>
  <si>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</si>
  <si>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</si>
  <si>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</si>
  <si>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</si>
  <si>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</si>
  <si>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</si>
  <si>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</si>
  <si>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</si>
  <si>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</si>
  <si>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</si>
  <si>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</si>
  <si>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</si>
  <si>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</si>
  <si>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</si>
  <si>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</si>
  <si>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</si>
  <si>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</si>
  <si>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</si>
  <si>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</si>
  <si>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</si>
  <si>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</si>
  <si>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</si>
  <si>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</si>
  <si>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</si>
  <si>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</si>
  <si>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</si>
  <si>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</si>
  <si>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</si>
  <si>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</si>
  <si>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</si>
  <si>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</si>
  <si>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</si>
  <si>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</si>
  <si>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</si>
  <si>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</si>
  <si>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</si>
  <si>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</si>
  <si>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</si>
  <si>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</si>
  <si>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</si>
  <si>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</si>
  <si>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</si>
  <si>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</si>
  <si>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</si>
  <si>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</si>
  <si>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</si>
  <si>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</si>
  <si>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</si>
  <si>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</si>
  <si>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</si>
  <si>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</si>
  <si>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</si>
  <si>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</si>
  <si>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</si>
  <si>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</si>
  <si>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</si>
  <si>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</si>
  <si>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</si>
  <si>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</si>
  <si>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</si>
  <si>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</si>
  <si>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</si>
  <si>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</si>
  <si>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</si>
  <si>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</si>
  <si>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</si>
  <si>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</si>
  <si>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</si>
  <si>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</si>
  <si>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</si>
  <si>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</si>
  <si>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</si>
  <si>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</si>
  <si>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</si>
  <si>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</si>
  <si>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</si>
  <si>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</si>
  <si>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</si>
  <si>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</si>
  <si>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</si>
  <si>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</si>
  <si>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</si>
  <si>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</si>
  <si>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</si>
  <si>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</si>
  <si>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</si>
  <si>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</si>
  <si>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</si>
  <si>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</si>
  <si>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</si>
  <si>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</si>
  <si>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</si>
  <si>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</si>
  <si>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</si>
  <si>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</si>
  <si>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</si>
  <si>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</si>
  <si>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</si>
  <si>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</si>
  <si>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</si>
  <si>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</si>
  <si>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</si>
  <si>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</si>
  <si>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</si>
  <si>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</si>
  <si>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</si>
  <si>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</si>
  <si>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</si>
  <si>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</si>
  <si>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</si>
  <si>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</si>
  <si>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</si>
  <si>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</si>
  <si>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</si>
  <si>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</si>
  <si>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</si>
  <si>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</si>
  <si>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</si>
  <si>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</si>
  <si>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</si>
  <si>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</si>
  <si>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</si>
  <si>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</si>
  <si>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</si>
  <si>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</si>
  <si>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</si>
  <si>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</si>
  <si>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</si>
  <si>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</si>
  <si>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</si>
  <si>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</si>
  <si>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</si>
  <si>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</si>
  <si>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</si>
  <si>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</si>
  <si>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</si>
  <si>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</si>
  <si>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</si>
  <si>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</si>
  <si>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</si>
  <si>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</si>
  <si>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</si>
  <si>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</si>
  <si>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</si>
  <si>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</si>
  <si>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</si>
  <si>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</si>
  <si>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</si>
  <si>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</si>
  <si>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</si>
  <si>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</si>
  <si>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</si>
  <si>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</si>
  <si>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</si>
  <si>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</si>
  <si>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</si>
  <si>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</si>
  <si>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</si>
  <si>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</si>
  <si>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</si>
  <si>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</si>
  <si>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</si>
  <si>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</si>
  <si>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</si>
  <si>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</si>
  <si>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</si>
  <si>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</si>
  <si>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</si>
  <si>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</si>
  <si>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</si>
  <si>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</si>
  <si>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</si>
  <si>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</si>
  <si>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</si>
  <si>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</si>
  <si>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</si>
  <si>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</si>
  <si>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</si>
  <si>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</si>
  <si>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</si>
  <si>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</si>
  <si>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</si>
  <si>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</si>
  <si>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</si>
  <si>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</si>
  <si>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</si>
  <si>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</si>
  <si>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</si>
  <si>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</si>
  <si>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</si>
  <si>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</si>
  <si>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</si>
  <si>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</si>
  <si>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</si>
  <si>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</si>
  <si>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</si>
  <si>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</si>
  <si>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</si>
  <si>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</si>
  <si>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</si>
  <si>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</si>
  <si>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</si>
  <si>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</si>
  <si>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</si>
  <si>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</si>
  <si>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</si>
  <si>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</si>
  <si>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</si>
  <si>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</si>
  <si>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</si>
  <si>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</si>
  <si>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</si>
  <si>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</si>
  <si>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</si>
  <si>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</si>
  <si>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</si>
  <si>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</si>
  <si>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</si>
  <si>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</si>
  <si>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</si>
  <si>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</si>
  <si>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</si>
  <si>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</si>
  <si>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</si>
  <si>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</si>
  <si>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</si>
  <si>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</si>
  <si>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</si>
  <si>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</si>
  <si>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</si>
  <si>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</si>
  <si>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</si>
  <si>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</si>
  <si>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</si>
  <si>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</si>
  <si>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</si>
  <si>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</si>
  <si>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</si>
  <si>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</si>
  <si>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</si>
  <si>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</si>
  <si>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</si>
  <si>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</si>
  <si>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</si>
  <si>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</si>
  <si>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</si>
  <si>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</si>
  <si>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</si>
  <si>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</si>
  <si>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</si>
  <si>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</si>
  <si>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</si>
  <si>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</si>
  <si>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</si>
  <si>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</si>
  <si>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</si>
  <si>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</si>
  <si>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</si>
  <si>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</si>
  <si>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</si>
  <si>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</si>
  <si>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</si>
  <si>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</si>
  <si>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</si>
  <si>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</si>
  <si>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</si>
  <si>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</si>
  <si>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</si>
  <si>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</si>
  <si>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</si>
  <si>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</si>
  <si>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</si>
  <si>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</si>
  <si>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</si>
  <si>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</si>
  <si>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</si>
  <si>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</si>
  <si>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</si>
  <si>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</si>
  <si>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</si>
  <si>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</si>
  <si>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</si>
  <si>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</si>
  <si>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</si>
  <si>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</si>
  <si>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</si>
  <si>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</si>
  <si>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</si>
  <si>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</si>
  <si>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</si>
  <si>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</si>
  <si>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</si>
  <si>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</si>
  <si>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</si>
  <si>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</si>
  <si>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</si>
  <si>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</si>
  <si>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</si>
  <si>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</si>
  <si>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</si>
  <si>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</si>
  <si>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</si>
  <si>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</si>
  <si>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</si>
  <si>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</si>
  <si>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</si>
  <si>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</si>
  <si>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</si>
  <si>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</si>
  <si>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</si>
  <si>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</si>
  <si>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</si>
  <si>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</si>
  <si>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</si>
  <si>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</si>
  <si>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</si>
  <si>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</si>
  <si>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</si>
  <si>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</si>
  <si>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</si>
  <si>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</si>
  <si>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</si>
  <si>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</si>
  <si>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</si>
  <si>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</si>
  <si>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</si>
  <si>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</si>
  <si>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</si>
  <si>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</si>
  <si>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</si>
  <si>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</si>
  <si>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</si>
  <si>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</si>
  <si>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</si>
  <si>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</si>
  <si>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</si>
  <si>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</si>
  <si>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</si>
  <si>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</si>
  <si>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</si>
  <si>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</si>
  <si>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</si>
  <si>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</si>
  <si>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</si>
  <si>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</si>
  <si>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</si>
  <si>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</si>
  <si>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</si>
  <si>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</si>
  <si>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</si>
  <si>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</si>
  <si>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</si>
  <si>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</si>
  <si>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</si>
  <si>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</si>
  <si>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</si>
  <si>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</si>
  <si>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</si>
  <si>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</si>
  <si>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</si>
  <si>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</si>
  <si>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</si>
  <si>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</si>
  <si>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</si>
  <si>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</si>
  <si>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</si>
  <si>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</si>
  <si>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</si>
  <si>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</si>
  <si>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</si>
  <si>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</si>
  <si>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</si>
  <si>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</si>
  <si>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</si>
  <si>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</si>
  <si>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</si>
  <si>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</si>
  <si>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</si>
  <si>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</si>
  <si>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</si>
  <si>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</si>
  <si>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</si>
  <si>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</si>
  <si>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</si>
  <si>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</si>
  <si>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</si>
  <si>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</si>
  <si>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</si>
  <si>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</si>
  <si>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</si>
  <si>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</si>
  <si>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</si>
  <si>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</si>
  <si>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</si>
  <si>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</si>
  <si>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</si>
  <si>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</si>
  <si>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</si>
  <si>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</si>
  <si>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</si>
  <si>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</si>
  <si>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</si>
  <si>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</si>
  <si>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</si>
  <si>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</si>
  <si>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</si>
  <si>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</si>
  <si>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</si>
  <si>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</si>
  <si>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</si>
  <si>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</si>
  <si>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</si>
  <si>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</si>
  <si>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</si>
  <si>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</si>
  <si>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</si>
  <si>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</si>
  <si>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</si>
  <si>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</si>
  <si>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</si>
  <si>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</si>
  <si>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</si>
  <si>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</si>
  <si>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</si>
  <si>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</si>
  <si>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</si>
  <si>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</si>
  <si>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</si>
  <si>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</si>
  <si>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</si>
  <si>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</si>
  <si>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</si>
  <si>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</si>
  <si>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</si>
  <si>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</si>
  <si>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</si>
  <si>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</si>
  <si>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</si>
  <si>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</si>
  <si>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</si>
  <si>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</si>
  <si>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</si>
  <si>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</si>
  <si>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</si>
  <si>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</si>
  <si>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</si>
  <si>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</si>
  <si>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</si>
  <si>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</si>
  <si>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</si>
  <si>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</si>
  <si>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</si>
  <si>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</si>
  <si>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</si>
  <si>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</si>
  <si>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</si>
  <si>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</si>
  <si>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</si>
  <si>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</si>
  <si>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</si>
  <si>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</si>
  <si>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</si>
  <si>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</si>
  <si>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</si>
  <si>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</si>
  <si>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</si>
  <si>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</si>
  <si>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</si>
  <si>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</si>
  <si>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</si>
  <si>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</si>
  <si>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</si>
  <si>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</si>
  <si>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</si>
  <si>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</si>
  <si>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</si>
  <si>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</si>
  <si>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</si>
  <si>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</si>
  <si>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</si>
  <si>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</si>
  <si>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</si>
  <si>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</si>
  <si>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</si>
  <si>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</si>
  <si>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</si>
  <si>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</si>
  <si>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</si>
  <si>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</si>
  <si>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</si>
  <si>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</si>
  <si>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</si>
  <si>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</si>
  <si>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</si>
  <si>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</si>
  <si>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</si>
  <si>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</si>
  <si>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</si>
  <si>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</si>
  <si>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</si>
  <si>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</si>
  <si>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</si>
  <si>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</si>
  <si>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</si>
  <si>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</si>
  <si>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</si>
  <si>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</si>
  <si>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</si>
  <si>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</si>
  <si>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</si>
  <si>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</si>
  <si>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</si>
  <si>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</si>
  <si>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</si>
  <si>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</si>
  <si>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</si>
  <si>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</si>
  <si>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</si>
  <si>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</si>
  <si>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</si>
  <si>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</si>
  <si>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</si>
  <si>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</si>
  <si>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</si>
  <si>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</si>
  <si>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</si>
  <si>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</si>
  <si>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</si>
  <si>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</si>
  <si>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</si>
  <si>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</si>
  <si>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</si>
  <si>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</si>
  <si>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</si>
  <si>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</si>
  <si>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</si>
  <si>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</si>
  <si>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</si>
  <si>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</si>
  <si>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</si>
  <si>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</si>
  <si>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</si>
  <si>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</si>
  <si>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</si>
  <si>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</si>
  <si>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</si>
  <si>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</si>
  <si>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</si>
  <si>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</si>
  <si>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</si>
  <si>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</si>
  <si>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</si>
  <si>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</si>
  <si>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</si>
  <si>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</si>
  <si>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</si>
  <si>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</si>
  <si>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</si>
  <si>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</si>
  <si>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</si>
  <si>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</si>
  <si>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</si>
  <si>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</si>
  <si>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</si>
  <si>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</si>
  <si>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</si>
  <si>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</si>
  <si>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</si>
  <si>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</si>
  <si>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</si>
  <si>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</si>
  <si>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</si>
  <si>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</si>
  <si>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</si>
  <si>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</si>
  <si>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</si>
  <si>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</si>
  <si>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</si>
  <si>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</si>
  <si>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</si>
  <si>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</si>
  <si>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</si>
  <si>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</si>
  <si>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</si>
  <si>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</si>
  <si>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</si>
  <si>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</si>
  <si>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</si>
  <si>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</si>
  <si>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</si>
  <si>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</si>
  <si>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</si>
  <si>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</si>
  <si>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</si>
  <si>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</si>
  <si>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</si>
  <si>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</si>
  <si>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</si>
  <si>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</si>
  <si>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</si>
  <si>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</si>
  <si>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</si>
  <si>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</si>
  <si>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</si>
  <si>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</si>
  <si>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</si>
  <si>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</si>
  <si>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</si>
  <si>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</si>
  <si>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</si>
  <si>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</si>
  <si>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</si>
  <si>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</si>
  <si>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</si>
  <si>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</si>
  <si>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</si>
  <si>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</si>
  <si>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</si>
  <si>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</si>
  <si>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</si>
  <si>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</si>
  <si>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</si>
  <si>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</si>
  <si>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</si>
  <si>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</si>
  <si>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</si>
  <si>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</si>
  <si>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</si>
  <si>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</si>
  <si>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</si>
  <si>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</si>
  <si>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</si>
  <si>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</si>
  <si>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</si>
  <si>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</si>
  <si>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</si>
  <si>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</si>
  <si>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</si>
  <si>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</si>
  <si>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</si>
  <si>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</si>
  <si>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</si>
  <si>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</si>
  <si>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</si>
  <si>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</si>
  <si>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</si>
  <si>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</si>
  <si>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</si>
  <si>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</si>
  <si>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</si>
  <si>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</si>
  <si>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</si>
  <si>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</si>
  <si>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</si>
  <si>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</si>
  <si>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</si>
  <si>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</si>
  <si>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</si>
  <si>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</si>
  <si>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</si>
  <si>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</si>
  <si>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</si>
  <si>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</si>
  <si>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</si>
  <si>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</si>
  <si>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</si>
  <si>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</si>
  <si>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</si>
  <si>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</si>
  <si>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</si>
  <si>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</si>
  <si>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</si>
  <si>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</si>
  <si>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</si>
  <si>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</si>
  <si>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</si>
  <si>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</si>
  <si>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</si>
  <si>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</si>
  <si>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</si>
  <si>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</si>
  <si>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</si>
  <si>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</si>
  <si>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</si>
  <si>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</si>
  <si>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</si>
  <si>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</si>
  <si>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</si>
  <si>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</si>
  <si>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</si>
  <si>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</si>
  <si>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</si>
  <si>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</si>
  <si>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</si>
  <si>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</si>
  <si>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</si>
  <si>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</si>
  <si>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</si>
  <si>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</si>
  <si>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</si>
  <si>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</si>
  <si>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</si>
  <si>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</si>
  <si>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</si>
  <si>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</si>
  <si>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</si>
  <si>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</si>
  <si>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</si>
  <si>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</si>
  <si>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</si>
  <si>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</si>
  <si>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</si>
  <si>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</si>
  <si>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</si>
  <si>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</si>
  <si>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</si>
  <si>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</si>
  <si>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</si>
  <si>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</si>
  <si>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</si>
  <si>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</si>
  <si>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</si>
  <si>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</si>
  <si>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</si>
  <si>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</si>
  <si>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</si>
  <si>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</si>
  <si>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</si>
  <si>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</si>
  <si>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</si>
  <si>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</si>
  <si>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</si>
  <si>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</si>
  <si>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</si>
  <si>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</si>
  <si>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</si>
  <si>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</si>
  <si>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</si>
  <si>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</si>
  <si>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</si>
  <si>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</si>
  <si>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</si>
  <si>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</si>
  <si>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</si>
  <si>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</si>
  <si>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</si>
  <si>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</si>
  <si>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</si>
  <si>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</si>
  <si>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</si>
  <si>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</si>
  <si>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</si>
  <si>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</si>
  <si>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</si>
  <si>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</si>
  <si>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</si>
  <si>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</si>
  <si>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</si>
  <si>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</si>
  <si>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</si>
  <si>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</si>
  <si>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</si>
  <si>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</si>
  <si>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</si>
  <si>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</si>
  <si>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</si>
  <si>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</si>
  <si>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</si>
  <si>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</si>
  <si>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</si>
  <si>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</si>
  <si>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</si>
  <si>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</si>
  <si>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</si>
  <si>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</si>
  <si>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</si>
  <si>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</si>
  <si>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</si>
  <si>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</si>
  <si>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</si>
  <si>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</si>
  <si>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</si>
  <si>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</si>
  <si>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</si>
  <si>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</si>
  <si>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</si>
  <si>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</si>
  <si>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</si>
  <si>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</si>
  <si>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</si>
  <si>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</si>
  <si>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</si>
  <si>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</si>
  <si>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</si>
  <si>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</si>
  <si>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</si>
  <si>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</si>
  <si>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</si>
  <si>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</si>
  <si>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</si>
  <si>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</si>
  <si>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</si>
  <si>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</si>
  <si>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</si>
  <si>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</si>
  <si>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</si>
  <si>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</si>
  <si>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</si>
  <si>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</si>
  <si>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</si>
  <si>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</si>
  <si>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</si>
  <si>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</si>
  <si>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</si>
  <si>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</si>
  <si>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</si>
  <si>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</si>
  <si>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</si>
  <si>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</si>
  <si>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</si>
  <si>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</si>
  <si>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</si>
  <si>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</si>
  <si>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</si>
  <si>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</si>
  <si>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</si>
  <si>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</si>
  <si>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</si>
  <si>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</si>
  <si>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</si>
  <si>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</si>
  <si>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</si>
  <si>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</si>
  <si>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</si>
  <si>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</si>
  <si>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</si>
  <si>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</si>
  <si>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</si>
  <si>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</si>
  <si>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</si>
  <si>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</si>
  <si>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</si>
  <si>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</si>
  <si>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</si>
  <si>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</si>
  <si>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</si>
  <si>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</si>
  <si>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</si>
  <si>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</si>
  <si>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</si>
  <si>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</si>
  <si>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</si>
  <si>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</si>
  <si>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</si>
  <si>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</si>
  <si>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</si>
  <si>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</si>
  <si>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</si>
  <si>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</si>
  <si>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</si>
  <si>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</si>
  <si>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</si>
  <si>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</si>
  <si>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</si>
  <si>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</si>
  <si>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</si>
  <si>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</si>
  <si>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</si>
  <si>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</si>
  <si>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</si>
  <si>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</si>
  <si>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</si>
  <si>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</si>
  <si>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</si>
  <si>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</si>
  <si>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</si>
  <si>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</si>
  <si>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</si>
  <si>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</si>
  <si>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</si>
  <si>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</si>
  <si>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</si>
  <si>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</si>
  <si>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</si>
  <si>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</si>
  <si>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</si>
  <si>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</si>
  <si>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</si>
  <si>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</si>
  <si>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</si>
  <si>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</si>
  <si>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</si>
  <si>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</si>
  <si>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</si>
  <si>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</si>
  <si>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</si>
  <si>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</si>
  <si>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</si>
  <si>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</si>
  <si>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</si>
  <si>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</si>
  <si>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</si>
  <si>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</si>
  <si>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</si>
  <si>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</si>
  <si>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</si>
  <si>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</si>
  <si>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</si>
  <si>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</si>
  <si>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</si>
  <si>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</si>
  <si>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</si>
  <si>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</si>
  <si>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</si>
  <si>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</si>
  <si>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</si>
  <si>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</si>
  <si>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</si>
  <si>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</si>
  <si>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</si>
  <si>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</si>
  <si>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</si>
  <si>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</si>
  <si>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</si>
  <si>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</si>
  <si>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</si>
  <si>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</si>
  <si>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</si>
  <si>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</si>
  <si>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</si>
  <si>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</si>
  <si>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</si>
  <si>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</si>
  <si>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</si>
  <si>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</si>
  <si>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</si>
  <si>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</si>
  <si>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</si>
  <si>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</si>
  <si>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</si>
  <si>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</si>
  <si>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</si>
  <si>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</si>
  <si>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</si>
  <si>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</si>
  <si>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</si>
  <si>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</si>
  <si>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</si>
  <si>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</si>
  <si>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</si>
  <si>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</si>
  <si>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</si>
  <si>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</si>
  <si>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</si>
  <si>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</si>
  <si>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</si>
  <si>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</si>
  <si>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</si>
  <si>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</si>
  <si>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</si>
  <si>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</si>
  <si>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</si>
  <si>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</si>
  <si>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</si>
  <si>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</si>
  <si>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</si>
  <si>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</si>
  <si>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</si>
  <si>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</si>
  <si>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</si>
  <si>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</si>
  <si>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</si>
  <si>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</si>
  <si>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</si>
  <si>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</si>
  <si>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</si>
  <si>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</si>
  <si>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</si>
  <si>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</si>
  <si>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</si>
  <si>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</si>
  <si>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</si>
  <si>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</si>
  <si>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</si>
  <si>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</si>
  <si>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</si>
  <si>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</si>
  <si>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</si>
  <si>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</si>
  <si>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</si>
  <si>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</si>
  <si>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</si>
  <si>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</si>
  <si>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</si>
  <si>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</si>
  <si>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</si>
  <si>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</si>
  <si>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</si>
  <si>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</si>
  <si>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</si>
  <si>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</si>
  <si>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</si>
  <si>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</si>
  <si>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</si>
  <si>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</si>
  <si>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</si>
  <si>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</si>
  <si>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</si>
  <si>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</si>
  <si>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</si>
  <si>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</si>
  <si>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</si>
  <si>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</si>
  <si>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</si>
  <si>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</si>
  <si>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</si>
  <si>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</si>
  <si>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</si>
  <si>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</si>
  <si>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</si>
  <si>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</si>
  <si>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</si>
  <si>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</si>
  <si>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</si>
  <si>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</si>
  <si>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</si>
  <si>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</si>
  <si>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</si>
  <si>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</si>
  <si>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</si>
  <si>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</si>
  <si>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</si>
  <si>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</si>
  <si>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</si>
  <si>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</si>
  <si>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</si>
  <si>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</si>
  <si>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</si>
  <si>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</si>
  <si>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</si>
  <si>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</si>
  <si>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</si>
  <si>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</si>
  <si>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</si>
  <si>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</si>
  <si>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</si>
  <si>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</si>
  <si>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</si>
  <si>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</si>
  <si>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</si>
  <si>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</si>
  <si>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</si>
  <si>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</si>
  <si>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</si>
  <si>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</si>
  <si>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</si>
  <si>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</si>
  <si>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</si>
  <si>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</si>
  <si>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</si>
  <si>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</si>
  <si>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</si>
  <si>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</si>
  <si>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</si>
  <si>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</si>
  <si>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</si>
  <si>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</si>
  <si>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</si>
  <si>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</si>
  <si>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</si>
  <si>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</si>
  <si>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</si>
  <si>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</si>
  <si>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</si>
  <si>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</si>
  <si>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</si>
  <si>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</si>
  <si>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</si>
  <si>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</si>
  <si>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</si>
  <si>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</si>
  <si>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</si>
  <si>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</si>
  <si>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</si>
  <si>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</si>
  <si>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</si>
  <si>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</si>
  <si>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</si>
  <si>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</si>
  <si>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</si>
  <si>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</si>
  <si>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</si>
  <si>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</si>
  <si>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</si>
  <si>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</si>
  <si>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</si>
  <si>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</si>
  <si>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</si>
  <si>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</si>
  <si>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</si>
  <si>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</si>
  <si>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</si>
  <si>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</si>
  <si>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</si>
  <si>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</si>
  <si>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</si>
  <si>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</si>
  <si>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</si>
  <si>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</si>
  <si>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</si>
  <si>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</si>
  <si>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</si>
  <si>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</si>
  <si>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</si>
  <si>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</si>
  <si>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</si>
  <si>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</si>
  <si>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</si>
  <si>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</si>
  <si>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</si>
  <si>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</si>
  <si>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</si>
  <si>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</si>
  <si>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</si>
  <si>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</si>
  <si>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</si>
  <si>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</si>
  <si>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</si>
  <si>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</si>
  <si>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</si>
  <si>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</si>
  <si>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</si>
  <si>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</si>
  <si>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</si>
  <si>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</si>
  <si>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</si>
  <si>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</si>
  <si>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</si>
  <si>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</si>
  <si>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</si>
  <si>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</si>
  <si>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</si>
  <si>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</si>
  <si>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</si>
  <si>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</si>
  <si>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</si>
  <si>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</si>
  <si>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</si>
  <si>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</si>
  <si>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</si>
  <si>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</si>
  <si>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</si>
  <si>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</si>
  <si>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</si>
  <si>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</si>
  <si>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</si>
  <si>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</si>
  <si>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</si>
  <si>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</si>
  <si>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</si>
  <si>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</si>
  <si>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</si>
  <si>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</si>
  <si>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</si>
  <si>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</si>
  <si>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</si>
  <si>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</si>
  <si>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</si>
  <si>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</si>
  <si>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</si>
  <si>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</si>
  <si>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</si>
  <si>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</si>
  <si>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</si>
  <si>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</si>
  <si>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</si>
  <si>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</si>
  <si>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</si>
  <si>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</si>
  <si>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</si>
  <si>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</si>
  <si>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</si>
  <si>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</si>
  <si>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</si>
  <si>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</si>
  <si>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</si>
  <si>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</si>
  <si>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</si>
  <si>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</si>
  <si>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</si>
  <si>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</si>
  <si>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</si>
  <si>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</si>
  <si>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</si>
  <si>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</si>
  <si>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</si>
  <si>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</si>
  <si>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</si>
  <si>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</si>
  <si>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</si>
  <si>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</si>
  <si>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</si>
  <si>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</si>
  <si>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</si>
  <si>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</si>
  <si>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</si>
  <si>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</si>
  <si>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</si>
  <si>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</si>
  <si>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</si>
  <si>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</si>
  <si>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</si>
  <si>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</si>
  <si>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</si>
  <si>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</si>
  <si>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</si>
  <si>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</si>
  <si>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</si>
  <si>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</si>
  <si>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</si>
  <si>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</si>
  <si>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</si>
  <si>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</si>
  <si>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</si>
  <si>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</si>
  <si>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</si>
  <si>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</si>
  <si>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</si>
  <si>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</si>
  <si>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</si>
  <si>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</si>
  <si>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</si>
  <si>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</si>
  <si>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</si>
  <si>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</si>
  <si>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</si>
  <si>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</si>
  <si>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</si>
  <si>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</si>
  <si>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</si>
  <si>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</si>
  <si>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</si>
  <si>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</si>
  <si>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</si>
  <si>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</si>
  <si>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</si>
  <si>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</si>
  <si>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</si>
  <si>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</si>
  <si>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</si>
  <si>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</si>
  <si>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</si>
  <si>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</si>
  <si>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</si>
  <si>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</si>
  <si>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</si>
  <si>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</si>
  <si>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</si>
  <si>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</si>
  <si>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</si>
  <si>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</si>
  <si>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</si>
  <si>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</si>
  <si>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</si>
  <si>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</si>
  <si>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</si>
  <si>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</si>
  <si>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</si>
  <si>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</si>
  <si>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</si>
  <si>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</si>
  <si>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</si>
  <si>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</si>
  <si>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</si>
  <si>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</si>
  <si>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</si>
  <si>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</si>
  <si>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</si>
  <si>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</si>
  <si>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</si>
  <si>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</si>
  <si>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</si>
  <si>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</si>
  <si>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</si>
  <si>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</si>
  <si>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</si>
  <si>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</si>
  <si>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</si>
  <si>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</si>
  <si>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</si>
  <si>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</si>
  <si>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</si>
  <si>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</si>
  <si>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</si>
  <si>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</si>
  <si>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</si>
  <si>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</si>
  <si>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</si>
  <si>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</si>
  <si>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</si>
  <si>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</si>
  <si>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</si>
  <si>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</si>
  <si>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</si>
  <si>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</si>
  <si>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</si>
  <si>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</si>
  <si>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</si>
  <si>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</si>
  <si>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</si>
  <si>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</si>
  <si>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</si>
  <si>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</si>
  <si>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</si>
  <si>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</si>
  <si>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</si>
  <si>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</si>
  <si>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</si>
  <si>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</si>
  <si>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</si>
  <si>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</si>
  <si>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</si>
  <si>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</si>
  <si>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</si>
  <si>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</si>
  <si>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</si>
  <si>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</si>
  <si>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</si>
  <si>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</si>
  <si>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</si>
  <si>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</si>
  <si>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</si>
  <si>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</si>
  <si>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</si>
  <si>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</si>
  <si>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</si>
  <si>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</si>
  <si>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</si>
  <si>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</si>
  <si>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</si>
  <si>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</si>
  <si>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</si>
  <si>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</si>
  <si>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</si>
  <si>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</si>
  <si>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</si>
  <si>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</si>
  <si>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</si>
  <si>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</si>
  <si>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</si>
  <si>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</si>
  <si>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</si>
  <si>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</si>
  <si>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</si>
  <si>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</si>
  <si>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</si>
  <si>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</si>
  <si>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</si>
  <si>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</si>
  <si>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</si>
  <si>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</si>
  <si>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</si>
  <si>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</si>
  <si>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</si>
  <si>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</si>
  <si>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</si>
  <si>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</si>
  <si>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</si>
  <si>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</si>
  <si>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</si>
  <si>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</si>
  <si>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</si>
  <si>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</si>
  <si>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</si>
  <si>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</si>
  <si>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</si>
  <si>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</si>
  <si>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</si>
  <si>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</si>
  <si>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</si>
  <si>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</si>
  <si>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</si>
  <si>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</si>
  <si>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</si>
  <si>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</si>
  <si>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</si>
  <si>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</si>
  <si>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</si>
  <si>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</si>
  <si>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</si>
  <si>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</si>
  <si>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</si>
  <si>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</si>
  <si>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</si>
  <si>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</si>
  <si>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</si>
  <si>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</si>
  <si>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</si>
  <si>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</si>
  <si>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</si>
  <si>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</si>
  <si>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</si>
  <si>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</si>
  <si>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</si>
  <si>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</si>
  <si>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</si>
  <si>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</si>
  <si>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</si>
  <si>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</si>
  <si>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</si>
  <si>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</si>
  <si>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</si>
  <si>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</si>
  <si>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</si>
  <si>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</si>
  <si>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</si>
  <si>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</si>
  <si>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</si>
  <si>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</si>
  <si>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</si>
  <si>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</si>
  <si>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</si>
  <si>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</si>
  <si>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</si>
  <si>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</si>
  <si>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</si>
  <si>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</si>
  <si>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</si>
  <si>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</si>
  <si>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</si>
  <si>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</si>
  <si>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</si>
  <si>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</si>
  <si>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</si>
  <si>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</si>
  <si>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</si>
  <si>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</si>
  <si>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</si>
  <si>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</si>
  <si>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</si>
  <si>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</si>
  <si>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</si>
  <si>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</si>
  <si>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</si>
  <si>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</si>
  <si>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</si>
  <si>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</si>
  <si>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</si>
  <si>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</si>
  <si>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</si>
  <si>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</si>
  <si>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</si>
  <si>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</si>
  <si>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</si>
  <si>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</si>
  <si>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</si>
  <si>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</si>
  <si>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</si>
  <si>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</si>
  <si>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</si>
  <si>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</si>
  <si>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</si>
  <si>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</si>
  <si>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</si>
  <si>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</si>
  <si>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</si>
  <si>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</si>
  <si>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</si>
  <si>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</si>
  <si>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</si>
  <si>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</si>
  <si>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</si>
  <si>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</si>
  <si>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</si>
  <si>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</si>
  <si>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</si>
  <si>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</si>
  <si>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</si>
  <si>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</si>
  <si>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</si>
  <si>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</si>
  <si>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</si>
  <si>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</si>
  <si>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</si>
  <si>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</si>
  <si>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</si>
  <si>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</si>
  <si>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</si>
  <si>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</si>
  <si>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</si>
  <si>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</si>
  <si>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</si>
  <si>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</si>
  <si>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</si>
  <si>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</si>
  <si>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</si>
  <si>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</si>
  <si>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</si>
  <si>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</si>
  <si>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</si>
  <si>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</si>
  <si>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</si>
  <si>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</si>
  <si>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</si>
  <si>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</si>
  <si>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</si>
  <si>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</si>
  <si>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</si>
  <si>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</si>
  <si>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</si>
  <si>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</si>
  <si>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</si>
  <si>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</si>
  <si>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</si>
  <si>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</si>
  <si>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</si>
  <si>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</si>
  <si>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</si>
  <si>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</si>
  <si>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</si>
  <si>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</si>
  <si>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</si>
  <si>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</si>
  <si>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</si>
  <si>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</si>
  <si>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</si>
  <si>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</si>
  <si>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</si>
  <si>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</si>
  <si>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</si>
  <si>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</si>
  <si>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</si>
  <si>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</si>
  <si>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</si>
  <si>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</si>
  <si>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</si>
  <si>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</si>
  <si>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</si>
  <si>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</si>
  <si>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</si>
  <si>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</si>
  <si>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</si>
  <si>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</si>
  <si>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</si>
  <si>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</si>
  <si>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</si>
  <si>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</si>
  <si>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</si>
  <si>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</si>
  <si>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</si>
  <si>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</si>
  <si>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</si>
  <si>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</si>
  <si>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</si>
  <si>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</si>
  <si>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</si>
  <si>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</si>
  <si>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</si>
  <si>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</si>
  <si>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</si>
  <si>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</si>
  <si>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</si>
  <si>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</si>
  <si>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</si>
  <si>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</si>
  <si>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</si>
  <si>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</si>
  <si>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</si>
  <si>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</si>
  <si>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</si>
  <si>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</si>
  <si>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</si>
  <si>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</si>
  <si>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</si>
  <si>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</si>
  <si>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</si>
  <si>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</si>
  <si>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</si>
  <si>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</si>
  <si>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</si>
  <si>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</si>
  <si>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</si>
  <si>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</si>
  <si>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</si>
  <si>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</si>
  <si>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</si>
  <si>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</si>
  <si>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</si>
  <si>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</si>
  <si>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</si>
  <si>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</si>
  <si>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</si>
  <si>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</si>
  <si>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</si>
  <si>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</si>
  <si>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</si>
  <si>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</si>
  <si>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</si>
  <si>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</si>
  <si>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</si>
  <si>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</si>
  <si>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</si>
  <si>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</si>
  <si>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</si>
  <si>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</si>
  <si>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</si>
  <si>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</si>
  <si>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</si>
  <si>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</si>
  <si>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</si>
  <si>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</si>
  <si>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</si>
  <si>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</si>
  <si>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</si>
  <si>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</si>
  <si>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</si>
  <si>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</si>
  <si>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</si>
  <si>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</si>
  <si>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</si>
  <si>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</si>
  <si>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</si>
  <si>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</si>
  <si>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</si>
  <si>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</si>
  <si>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</si>
  <si>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</si>
  <si>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</si>
  <si>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</si>
  <si>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</si>
  <si>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</si>
  <si>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</si>
  <si>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</si>
  <si>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</si>
  <si>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</si>
  <si>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</si>
  <si>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</si>
  <si>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</si>
  <si>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</si>
  <si>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</si>
  <si>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</si>
  <si>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</si>
  <si>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</si>
  <si>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</si>
  <si>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</si>
  <si>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</si>
  <si>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</si>
  <si>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</si>
  <si>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</si>
  <si>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</si>
  <si>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</si>
  <si>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</si>
  <si>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</si>
  <si>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</si>
  <si>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</si>
  <si>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</si>
  <si>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</si>
  <si>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</si>
  <si>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</si>
  <si>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</si>
  <si>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</si>
  <si>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</si>
  <si>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</si>
  <si>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</si>
  <si>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</si>
  <si>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</si>
  <si>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</si>
  <si>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</si>
  <si>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</si>
  <si>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</si>
  <si>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</si>
  <si>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</si>
  <si>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</si>
  <si>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</si>
  <si>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</si>
  <si>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</si>
  <si>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</si>
  <si>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</si>
  <si>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</si>
  <si>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</si>
  <si>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</si>
  <si>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</si>
  <si>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</si>
  <si>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</si>
  <si>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</si>
  <si>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</si>
  <si>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</si>
  <si>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</si>
  <si>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</si>
  <si>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</si>
  <si>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</si>
  <si>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</si>
  <si>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</si>
  <si>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</si>
  <si>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</si>
  <si>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</si>
  <si>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</si>
  <si>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</si>
  <si>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</si>
  <si>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</si>
  <si>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</si>
  <si>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</si>
  <si>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</si>
  <si>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</si>
  <si>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</si>
  <si>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</si>
  <si>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</si>
  <si>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</si>
  <si>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</si>
  <si>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</si>
  <si>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</si>
  <si>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</si>
  <si>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</si>
  <si>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</si>
  <si>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</si>
  <si>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</si>
  <si>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</si>
  <si>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</si>
  <si>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</si>
  <si>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</si>
  <si>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</si>
  <si>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</si>
  <si>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</si>
  <si>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</si>
  <si>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</si>
  <si>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</si>
  <si>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</si>
  <si>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</si>
  <si>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</si>
  <si>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</si>
  <si>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</si>
  <si>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</si>
  <si>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</si>
  <si>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</si>
  <si>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</si>
  <si>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</si>
  <si>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</si>
  <si>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</si>
  <si>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</si>
  <si>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</si>
  <si>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</si>
  <si>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</si>
  <si>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</si>
  <si>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</si>
  <si>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</si>
  <si>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</si>
  <si>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</si>
  <si>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</si>
  <si>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</si>
  <si>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</si>
  <si>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</si>
  <si>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</si>
  <si>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</si>
  <si>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</si>
  <si>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</si>
  <si>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</si>
  <si>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</si>
  <si>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</si>
  <si>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</si>
  <si>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</si>
  <si>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</si>
  <si>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</si>
  <si>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</si>
  <si>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</si>
  <si>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</si>
  <si>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</si>
  <si>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</si>
  <si>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</si>
  <si>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</si>
  <si>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</si>
  <si>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</si>
  <si>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</si>
  <si>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</si>
  <si>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</si>
  <si>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</si>
  <si>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</si>
  <si>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</si>
  <si>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</si>
  <si>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</si>
  <si>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</si>
  <si>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</si>
  <si>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</si>
  <si>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</si>
  <si>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</si>
  <si>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</si>
  <si>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</si>
  <si>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</si>
  <si>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</si>
  <si>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</si>
  <si>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</si>
  <si>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</si>
  <si>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</si>
  <si>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</si>
  <si>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</si>
  <si>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</si>
  <si>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</si>
  <si>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</si>
  <si>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</si>
  <si>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</si>
  <si>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</si>
  <si>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</si>
  <si>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</si>
  <si>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</si>
  <si>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</si>
  <si>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</si>
  <si>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</si>
  <si>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</si>
  <si>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</si>
  <si>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</si>
  <si>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</si>
  <si>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</si>
  <si>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</si>
  <si>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</si>
  <si>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</si>
  <si>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</si>
  <si>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</si>
  <si>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</si>
  <si>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</si>
  <si>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</si>
  <si>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</si>
  <si>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</si>
  <si>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</si>
  <si>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</si>
  <si>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</si>
  <si>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</si>
  <si>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</si>
  <si>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</si>
  <si>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</si>
  <si>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</si>
  <si>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</si>
  <si>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</si>
  <si>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</si>
  <si>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</si>
  <si>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</si>
  <si>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</si>
  <si>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</si>
  <si>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</si>
  <si>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</si>
  <si>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</si>
  <si>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</si>
  <si>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</si>
  <si>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</si>
  <si>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</si>
  <si>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</si>
  <si>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</si>
  <si>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</si>
  <si>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</si>
  <si>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</si>
  <si>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</si>
  <si>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</si>
  <si>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</si>
  <si>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</si>
  <si>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</si>
  <si>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</si>
  <si>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</si>
  <si>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</si>
  <si>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</si>
  <si>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</si>
  <si>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</si>
  <si>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</si>
  <si>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</si>
  <si>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</si>
  <si>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</si>
  <si>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</si>
  <si>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</si>
  <si>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</si>
  <si>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</si>
  <si>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</si>
  <si>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</si>
  <si>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</si>
  <si>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</si>
  <si>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</si>
  <si>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</si>
  <si>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</si>
  <si>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</si>
  <si>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</si>
  <si>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</si>
  <si>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</si>
  <si>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</si>
  <si>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</si>
  <si>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</si>
  <si>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</si>
  <si>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</si>
  <si>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</si>
  <si>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</si>
  <si>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</si>
  <si>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</si>
  <si>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</si>
  <si>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</si>
  <si>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</si>
  <si>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</si>
  <si>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</si>
  <si>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</si>
  <si>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</si>
  <si>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</si>
  <si>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</si>
  <si>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</si>
  <si>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</si>
  <si>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</si>
  <si>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</si>
  <si>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</si>
  <si>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</si>
  <si>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</si>
  <si>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</si>
  <si>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</si>
  <si>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</si>
  <si>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</si>
  <si>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</si>
  <si>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</si>
  <si>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</si>
  <si>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</si>
  <si>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</si>
  <si>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</si>
  <si>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</si>
  <si>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</si>
  <si>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</si>
  <si>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</si>
  <si>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</si>
  <si>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</si>
  <si>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</si>
  <si>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</si>
  <si>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</si>
  <si>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</si>
  <si>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</si>
  <si>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</si>
  <si>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</si>
  <si>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</si>
  <si>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</si>
  <si>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</si>
  <si>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</si>
  <si>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</si>
  <si>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</si>
  <si>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</si>
  <si>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</si>
  <si>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</si>
  <si>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</si>
  <si>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</si>
  <si>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</si>
  <si>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</si>
  <si>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</si>
  <si>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</si>
  <si>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</si>
  <si>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</si>
  <si>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</si>
  <si>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</si>
  <si>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</si>
  <si>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</si>
  <si>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</si>
  <si>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</si>
  <si>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</si>
  <si>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</si>
  <si>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</si>
  <si>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</si>
  <si>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</si>
  <si>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</si>
  <si>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</si>
  <si>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</si>
  <si>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</si>
  <si>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</si>
  <si>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</si>
  <si>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</si>
  <si>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</si>
  <si>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</si>
  <si>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</si>
  <si>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</si>
  <si>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</si>
  <si>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</si>
  <si>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</si>
  <si>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</si>
  <si>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</si>
  <si>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</si>
  <si>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</si>
  <si>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</si>
  <si>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</si>
  <si>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</si>
  <si>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</si>
  <si>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</si>
  <si>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</si>
  <si>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</si>
  <si>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</si>
  <si>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</si>
  <si>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</si>
  <si>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</si>
  <si>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</si>
  <si>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</si>
  <si>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</si>
  <si>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</si>
  <si>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</si>
  <si>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</si>
  <si>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</si>
  <si>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</si>
  <si>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</si>
  <si>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</si>
  <si>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</si>
  <si>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</si>
  <si>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</si>
  <si>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</si>
  <si>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</si>
  <si>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</si>
  <si>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</si>
  <si>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</si>
  <si>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</si>
  <si>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</si>
  <si>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</si>
  <si>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</si>
  <si>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</si>
  <si>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</si>
  <si>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</si>
  <si>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</si>
  <si>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</si>
  <si>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</si>
  <si>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</si>
  <si>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</si>
  <si>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</si>
  <si>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</si>
  <si>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</si>
  <si>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</si>
  <si>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</si>
  <si>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</si>
  <si>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</si>
  <si>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</si>
  <si>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</si>
  <si>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</si>
  <si>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</si>
  <si>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</si>
  <si>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</si>
  <si>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</si>
  <si>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</si>
  <si>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</si>
  <si>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</si>
  <si>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</si>
  <si>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</si>
  <si>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</si>
  <si>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</si>
  <si>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</si>
  <si>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</si>
  <si>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</si>
  <si>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</si>
  <si>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</si>
  <si>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</si>
  <si>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</si>
  <si>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</si>
  <si>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</si>
  <si>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</si>
  <si>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</si>
  <si>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</si>
  <si>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</si>
  <si>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</si>
  <si>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</si>
  <si>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</si>
  <si>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</si>
  <si>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</si>
  <si>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</si>
  <si>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</si>
  <si>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</si>
  <si>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</si>
  <si>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</si>
  <si>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</si>
  <si>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</si>
  <si>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</si>
  <si>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</si>
  <si>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</si>
  <si>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</si>
  <si>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</si>
  <si>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</si>
  <si>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</si>
  <si>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</si>
  <si>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</si>
  <si>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</si>
  <si>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</si>
  <si>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</si>
  <si>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</si>
  <si>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</si>
  <si>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</si>
  <si>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</si>
  <si>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</si>
  <si>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</si>
  <si>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</si>
  <si>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</si>
  <si>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</si>
  <si>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</si>
  <si>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</si>
  <si>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</si>
  <si>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</si>
  <si>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</si>
  <si>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</si>
  <si>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</si>
  <si>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</si>
  <si>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</si>
  <si>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</si>
  <si>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</si>
  <si>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</si>
  <si>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</si>
  <si>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</si>
  <si>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</si>
  <si>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</si>
  <si>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</si>
  <si>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</si>
  <si>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</si>
  <si>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</si>
  <si>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</si>
  <si>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</si>
  <si>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</si>
  <si>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</si>
  <si>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</si>
  <si>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</si>
  <si>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</si>
  <si>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</si>
  <si>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</si>
  <si>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</si>
  <si>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</si>
  <si>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</si>
  <si>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</si>
  <si>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</si>
  <si>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</si>
  <si>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</si>
  <si>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</si>
  <si>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</si>
  <si>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</si>
  <si>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</si>
  <si>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</si>
  <si>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</si>
  <si>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</si>
  <si>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</si>
  <si>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</si>
  <si>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</si>
  <si>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</si>
  <si>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</si>
  <si>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</si>
  <si>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</si>
  <si>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</si>
  <si>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</si>
  <si>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</si>
  <si>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</si>
  <si>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</si>
  <si>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</si>
  <si>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</si>
  <si>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</si>
  <si>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</si>
  <si>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</si>
  <si>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</si>
  <si>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</si>
  <si>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</si>
  <si>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</si>
  <si>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</si>
  <si>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</si>
  <si>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</si>
  <si>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</si>
  <si>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</si>
  <si>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</si>
  <si>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</si>
  <si>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</si>
  <si>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</si>
  <si>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</si>
  <si>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</si>
  <si>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</si>
  <si>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</si>
  <si>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</si>
  <si>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</si>
  <si>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</si>
  <si>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</si>
  <si>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</si>
  <si>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</si>
  <si>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</si>
  <si>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</si>
  <si>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</si>
  <si>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</si>
  <si>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</si>
  <si>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</si>
  <si>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</si>
  <si>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</si>
  <si>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</si>
  <si>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</si>
  <si>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</si>
  <si>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</si>
  <si>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</si>
  <si>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</si>
  <si>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</si>
  <si>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</si>
  <si>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</si>
  <si>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</si>
  <si>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</si>
  <si>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</si>
  <si>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</si>
  <si>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</si>
  <si>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</si>
  <si>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</si>
  <si>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</si>
  <si>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</si>
  <si>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</si>
  <si>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</si>
  <si>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</si>
  <si>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</si>
  <si>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</si>
  <si>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</si>
  <si>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</si>
  <si>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</si>
  <si>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</si>
  <si>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</si>
  <si>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</si>
  <si>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</si>
  <si>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</si>
  <si>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</si>
  <si>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</si>
  <si>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</si>
  <si>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</si>
  <si>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</si>
  <si>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</si>
  <si>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</si>
  <si>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</si>
  <si>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</si>
  <si>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</si>
  <si>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</si>
  <si>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</si>
  <si>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</si>
  <si>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</si>
  <si>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</si>
  <si>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</si>
  <si>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</si>
  <si>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</si>
  <si>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</si>
  <si>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</si>
  <si>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</si>
  <si>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</si>
  <si>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</si>
  <si>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</si>
  <si>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</si>
  <si>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</si>
  <si>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</si>
  <si>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</si>
  <si>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</si>
  <si>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</si>
  <si>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</si>
  <si>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</si>
  <si>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</si>
  <si>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</si>
  <si>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</si>
  <si>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</si>
  <si>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</si>
  <si>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</si>
  <si>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</si>
  <si>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</si>
  <si>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</si>
  <si>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</si>
  <si>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</si>
  <si>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</si>
  <si>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</si>
  <si>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</si>
  <si>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</si>
  <si>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</si>
  <si>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</si>
  <si>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</si>
  <si>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</si>
  <si>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</si>
  <si>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</si>
  <si>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</si>
  <si>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</si>
  <si>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</si>
  <si>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</si>
  <si>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</si>
  <si>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</si>
  <si>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</si>
  <si>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</si>
  <si>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</si>
  <si>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</si>
  <si>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</si>
  <si>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</si>
  <si>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</si>
  <si>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</si>
  <si>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</si>
  <si>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</si>
  <si>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</si>
  <si>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</si>
  <si>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</si>
  <si>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</si>
  <si>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</si>
  <si>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</si>
  <si>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</si>
  <si>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</si>
  <si>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</si>
  <si>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</si>
  <si>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</si>
  <si>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</si>
  <si>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</si>
  <si>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</si>
  <si>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</si>
  <si>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</si>
  <si>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</si>
  <si>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</si>
  <si>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</si>
  <si>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</si>
  <si>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</si>
  <si>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</si>
  <si>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</si>
  <si>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</si>
  <si>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</si>
  <si>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</si>
  <si>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</si>
  <si>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</si>
  <si>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</si>
  <si>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</si>
  <si>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</si>
  <si>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</si>
  <si>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</si>
  <si>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</si>
  <si>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</si>
  <si>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</si>
  <si>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</si>
  <si>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</si>
  <si>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</si>
  <si>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</si>
  <si>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</si>
  <si>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</si>
  <si>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</si>
  <si>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</si>
  <si>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</si>
  <si>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</si>
  <si>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</si>
  <si>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</si>
  <si>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</si>
  <si>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</si>
  <si>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</si>
  <si>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</si>
  <si>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</si>
  <si>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</si>
  <si>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</si>
  <si>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</si>
  <si>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</si>
  <si>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</si>
  <si>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</si>
  <si>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</si>
  <si>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</si>
  <si>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</si>
  <si>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</si>
  <si>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</si>
  <si>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</si>
  <si>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</si>
  <si>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</si>
  <si>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</si>
  <si>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</si>
  <si>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</si>
  <si>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</si>
  <si>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</si>
  <si>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</si>
  <si>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</si>
  <si>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</si>
  <si>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</si>
  <si>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</si>
  <si>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</si>
  <si>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</si>
  <si>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</si>
  <si>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</si>
  <si>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</si>
  <si>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</si>
  <si>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</si>
  <si>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</si>
  <si>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</si>
  <si>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</si>
  <si>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</si>
  <si>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</si>
  <si>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</si>
  <si>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</si>
  <si>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</si>
  <si>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</si>
  <si>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</si>
  <si>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</si>
  <si>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</si>
  <si>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</si>
  <si>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</si>
  <si>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</si>
  <si>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</si>
  <si>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</si>
  <si>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</si>
  <si>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</si>
  <si>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</si>
  <si>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</si>
  <si>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</si>
  <si>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</si>
  <si>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</si>
  <si>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</si>
  <si>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</si>
  <si>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</si>
  <si>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</si>
  <si>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</si>
  <si>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</si>
  <si>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</si>
  <si>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</si>
  <si>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</si>
  <si>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</si>
  <si>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</si>
  <si>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</si>
  <si>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</si>
  <si>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</si>
  <si>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</si>
  <si>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</si>
  <si>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</si>
  <si>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</si>
  <si>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</si>
  <si>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</si>
  <si>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</si>
  <si>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</si>
  <si>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</si>
  <si>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</si>
  <si>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</si>
  <si>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</si>
  <si>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</si>
  <si>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</si>
  <si>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</si>
  <si>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</si>
  <si>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</si>
  <si>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</si>
  <si>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</si>
  <si>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</si>
  <si>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</si>
  <si>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</si>
  <si>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</si>
  <si>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</si>
  <si>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</si>
  <si>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</si>
  <si>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</si>
  <si>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</si>
  <si>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</si>
  <si>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</si>
  <si>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</si>
  <si>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</si>
  <si>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</si>
  <si>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</si>
  <si>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</si>
  <si>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</si>
  <si>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</si>
  <si>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</si>
  <si>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</si>
  <si>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</si>
  <si>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</si>
  <si>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</si>
  <si>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</si>
  <si>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</si>
  <si>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</si>
  <si>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</si>
  <si>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</si>
  <si>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</si>
  <si>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</si>
  <si>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</si>
  <si>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</si>
  <si>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</si>
  <si>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</si>
  <si>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</si>
  <si>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</si>
  <si>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</si>
  <si>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</si>
  <si>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</si>
  <si>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</si>
  <si>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</si>
  <si>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</si>
  <si>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</si>
  <si>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</si>
  <si>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</si>
  <si>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</si>
  <si>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</si>
  <si>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</si>
  <si>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</si>
  <si>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</si>
  <si>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</si>
  <si>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</si>
  <si>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</si>
  <si>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</si>
  <si>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</si>
  <si>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</si>
  <si>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</si>
  <si>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</si>
  <si>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</si>
  <si>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</si>
  <si>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</si>
  <si>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</si>
  <si>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</si>
  <si>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</si>
  <si>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</si>
  <si>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</si>
  <si>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</si>
  <si>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</si>
  <si>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</si>
  <si>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</si>
  <si>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</si>
  <si>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</si>
  <si>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</si>
  <si>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</si>
  <si>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</si>
  <si>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</si>
  <si>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</si>
  <si>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</si>
  <si>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</si>
  <si>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</si>
  <si>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</si>
  <si>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</si>
  <si>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</si>
  <si>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</si>
  <si>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</si>
  <si>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</si>
  <si>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</si>
  <si>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</si>
  <si>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</si>
  <si>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</si>
  <si>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</si>
  <si>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</si>
  <si>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</si>
  <si>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</si>
  <si>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</si>
  <si>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</si>
  <si>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</si>
  <si>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</si>
  <si>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</si>
  <si>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</si>
  <si>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</si>
  <si>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</si>
  <si>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</si>
  <si>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</si>
  <si>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</si>
  <si>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</si>
  <si>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</si>
  <si>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</si>
  <si>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</si>
  <si>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</si>
  <si>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</si>
  <si>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</si>
  <si>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</si>
  <si>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</si>
  <si>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</si>
  <si>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</si>
  <si>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</si>
  <si>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</si>
  <si>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</si>
  <si>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</si>
  <si>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</si>
  <si>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</si>
  <si>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</si>
  <si>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</si>
  <si>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</si>
  <si>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</si>
  <si>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</si>
  <si>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</si>
  <si>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</si>
  <si>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</si>
  <si>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</si>
  <si>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</si>
  <si>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</si>
  <si>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</si>
  <si>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</si>
  <si>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</si>
  <si>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</si>
  <si>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</si>
  <si>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</si>
  <si>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</si>
  <si>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</si>
  <si>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</si>
  <si>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</si>
  <si>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</si>
  <si>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</si>
  <si>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</si>
  <si>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</si>
  <si>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</si>
  <si>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</si>
  <si>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</si>
  <si>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</si>
  <si>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</si>
  <si>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</si>
  <si>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</si>
  <si>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</si>
  <si>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</si>
  <si>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</si>
  <si>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</si>
  <si>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</si>
  <si>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</si>
  <si>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</si>
  <si>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</si>
  <si>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</si>
  <si>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</si>
  <si>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</si>
  <si>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</si>
  <si>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</si>
  <si>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</si>
  <si>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</si>
  <si>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</si>
  <si>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</si>
  <si>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</si>
  <si>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</si>
  <si>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</si>
  <si>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</si>
  <si>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</si>
  <si>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</si>
  <si>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</si>
  <si>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</si>
  <si>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</si>
  <si>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</si>
  <si>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</si>
  <si>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</si>
  <si>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</si>
  <si>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</si>
  <si>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</si>
  <si>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</si>
  <si>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</si>
  <si>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</si>
  <si>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</si>
  <si>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</si>
  <si>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</si>
  <si>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</si>
  <si>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</si>
  <si>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</si>
  <si>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</si>
  <si>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</si>
  <si>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</si>
  <si>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</si>
  <si>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</si>
  <si>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</si>
  <si>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</si>
  <si>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</si>
  <si>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</si>
  <si>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</si>
  <si>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</si>
  <si>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</si>
  <si>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</si>
  <si>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</si>
  <si>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</si>
  <si>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</si>
  <si>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</si>
  <si>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</si>
  <si>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</si>
  <si>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</si>
  <si>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</si>
  <si>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</si>
  <si>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</si>
  <si>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</si>
  <si>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</si>
  <si>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</si>
  <si>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</si>
  <si>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</si>
  <si>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</si>
  <si>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</si>
  <si>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</si>
  <si>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</si>
  <si>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</si>
  <si>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</si>
  <si>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</si>
  <si>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</si>
  <si>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</si>
  <si>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</si>
  <si>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</si>
  <si>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</si>
  <si>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</si>
  <si>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</si>
  <si>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</si>
  <si>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</si>
  <si>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</si>
  <si>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</si>
  <si>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</si>
  <si>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</si>
  <si>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</si>
  <si>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</si>
  <si>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</si>
  <si>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</si>
  <si>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</si>
  <si>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</si>
  <si>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</si>
  <si>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</si>
  <si>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</si>
  <si>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</si>
  <si>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</si>
  <si>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</si>
  <si>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</si>
  <si>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</si>
  <si>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</si>
  <si>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</si>
  <si>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</si>
  <si>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</si>
  <si>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</si>
  <si>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</si>
  <si>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</si>
  <si>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</si>
  <si>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</si>
  <si>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</si>
  <si>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</si>
  <si>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</si>
  <si>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</si>
  <si>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</si>
  <si>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</si>
  <si>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</si>
  <si>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</si>
  <si>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</si>
  <si>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</si>
  <si>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</si>
  <si>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</si>
  <si>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</si>
  <si>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</si>
  <si>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</si>
  <si>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</si>
  <si>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</si>
  <si>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</si>
  <si>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</si>
  <si>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</si>
  <si>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</si>
  <si>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</si>
  <si>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</si>
  <si>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</si>
  <si>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</si>
  <si>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</si>
  <si>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</si>
  <si>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</si>
  <si>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</si>
  <si>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</si>
  <si>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</si>
  <si>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</si>
  <si>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</si>
  <si>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</si>
  <si>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</si>
  <si>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</si>
  <si>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</si>
  <si>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</si>
  <si>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</si>
  <si>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</si>
  <si>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</si>
  <si>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</si>
  <si>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</si>
  <si>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</si>
  <si>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</si>
  <si>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</si>
  <si>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</si>
  <si>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</si>
  <si>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</si>
  <si>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</si>
  <si>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</si>
  <si>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</si>
  <si>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</si>
  <si>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</si>
  <si>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</si>
  <si>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</si>
  <si>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</si>
  <si>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</si>
  <si>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</si>
  <si>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</si>
  <si>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</si>
  <si>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</si>
  <si>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</si>
  <si>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</si>
  <si>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</si>
  <si>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</si>
  <si>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</si>
  <si>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</si>
  <si>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</si>
  <si>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</si>
  <si>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</si>
  <si>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</si>
  <si>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</si>
  <si>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</si>
  <si>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</si>
  <si>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</si>
  <si>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</si>
  <si>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</si>
  <si>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</si>
  <si>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</si>
  <si>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</si>
  <si>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</si>
  <si>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</si>
  <si>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</si>
  <si>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</si>
  <si>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</si>
  <si>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</si>
  <si>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</si>
  <si>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</si>
  <si>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</si>
  <si>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</si>
  <si>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</si>
  <si>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</si>
  <si>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</si>
  <si>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</si>
  <si>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</si>
  <si>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</si>
  <si>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</si>
  <si>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</si>
  <si>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</si>
  <si>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</si>
  <si>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</si>
  <si>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</si>
  <si>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</si>
  <si>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</si>
  <si>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</si>
  <si>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</si>
  <si>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</si>
  <si>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</si>
  <si>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</si>
  <si>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</si>
  <si>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</si>
  <si>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</si>
  <si>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</si>
  <si>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</si>
  <si>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</si>
  <si>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</si>
  <si>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</si>
  <si>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</si>
  <si>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</si>
  <si>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</si>
  <si>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</si>
  <si>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</si>
  <si>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</si>
  <si>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</si>
  <si>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</si>
  <si>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</si>
  <si>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</si>
  <si>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</si>
  <si>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</si>
  <si>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</si>
  <si>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</si>
  <si>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</si>
  <si>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</si>
  <si>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</si>
  <si>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</si>
  <si>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</si>
  <si>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</si>
  <si>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</si>
  <si>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</si>
  <si>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</si>
  <si>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</si>
  <si>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</si>
  <si>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</si>
  <si>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</si>
  <si>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</si>
  <si>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</si>
  <si>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</si>
  <si>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</si>
  <si>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</si>
  <si>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</si>
  <si>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</si>
  <si>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</si>
  <si>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</si>
  <si>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</si>
  <si>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</si>
  <si>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</si>
  <si>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</si>
  <si>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</si>
  <si>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</si>
  <si>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</si>
  <si>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</si>
  <si>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</si>
  <si>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</si>
  <si>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</si>
  <si>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</si>
  <si>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</si>
  <si>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</si>
  <si>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</si>
  <si>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</si>
  <si>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</si>
  <si>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</si>
  <si>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</si>
  <si>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</si>
  <si>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</si>
  <si>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</si>
  <si>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</si>
  <si>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</si>
  <si>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</si>
  <si>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</si>
  <si>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</si>
  <si>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</si>
  <si>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</si>
  <si>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</si>
  <si>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</si>
  <si>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</si>
  <si>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</si>
  <si>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</si>
  <si>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</si>
  <si>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</si>
  <si>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</si>
  <si>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</si>
  <si>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</si>
  <si>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</si>
  <si>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</si>
  <si>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</si>
  <si>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</si>
  <si>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</si>
  <si>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</si>
  <si>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</si>
  <si>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</si>
  <si>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</si>
  <si>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</si>
  <si>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</si>
  <si>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</si>
  <si>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</si>
  <si>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</si>
  <si>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</si>
  <si>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</si>
  <si>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</si>
  <si>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</si>
  <si>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</si>
  <si>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</si>
  <si>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</si>
  <si>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</si>
  <si>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</si>
  <si>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</si>
  <si>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</si>
  <si>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</si>
  <si>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</si>
  <si>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</si>
  <si>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</si>
  <si>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</si>
  <si>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</si>
  <si>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</si>
  <si>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</si>
  <si>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</si>
  <si>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</si>
  <si>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</si>
  <si>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</si>
  <si>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</si>
  <si>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</si>
  <si>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</si>
  <si>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</si>
  <si>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</si>
  <si>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</si>
  <si>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</si>
  <si>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</si>
  <si>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</si>
  <si>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</si>
  <si>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</si>
  <si>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</si>
  <si>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</si>
  <si>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</si>
  <si>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</si>
  <si>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</si>
  <si>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</si>
  <si>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</si>
  <si>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</si>
  <si>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</si>
  <si>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</si>
  <si>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</si>
  <si>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</si>
  <si>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</si>
  <si>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</si>
  <si>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</si>
  <si>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</si>
  <si>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</si>
  <si>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</si>
  <si>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</si>
  <si>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</si>
  <si>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</si>
  <si>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</si>
  <si>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</si>
  <si>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</si>
  <si>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</si>
  <si>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</si>
  <si>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</si>
  <si>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</si>
  <si>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</si>
  <si>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</si>
  <si>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</si>
  <si>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</si>
  <si>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</si>
  <si>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</si>
  <si>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</si>
  <si>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</si>
  <si>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</si>
  <si>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</si>
  <si>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</si>
  <si>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</si>
  <si>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</si>
  <si>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</si>
  <si>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</si>
  <si>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</si>
  <si>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</si>
  <si>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</si>
  <si>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</si>
  <si>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</si>
  <si>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</si>
  <si>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</si>
  <si>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</si>
  <si>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</si>
  <si>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</si>
  <si>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</si>
  <si>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</si>
  <si>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</si>
  <si>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</si>
  <si>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</si>
  <si>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</si>
  <si>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</si>
  <si>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</si>
  <si>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</si>
  <si>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</si>
  <si>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</si>
  <si>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</si>
  <si>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</si>
  <si>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</si>
  <si>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</si>
  <si>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</si>
  <si>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</si>
  <si>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</si>
  <si>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</si>
  <si>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</si>
  <si>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</si>
  <si>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</si>
  <si>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</si>
  <si>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</si>
  <si>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</si>
  <si>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</si>
  <si>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</si>
  <si>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</si>
  <si>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</si>
  <si>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</si>
  <si>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</si>
  <si>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</si>
  <si>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</si>
  <si>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</si>
  <si>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</si>
  <si>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</si>
  <si>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</si>
  <si>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</si>
  <si>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</si>
  <si>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</si>
  <si>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</si>
  <si>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</si>
  <si>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</si>
  <si>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</si>
  <si>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</si>
  <si>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</si>
  <si>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</si>
  <si>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</si>
  <si>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</si>
  <si>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</si>
  <si>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</si>
  <si>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</si>
  <si>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</si>
  <si>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</si>
  <si>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</si>
  <si>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</si>
  <si>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</si>
  <si>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</si>
  <si>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</si>
  <si>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</si>
  <si>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</si>
  <si>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</si>
  <si>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</si>
  <si>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</si>
  <si>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</si>
  <si>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</si>
  <si>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</si>
  <si>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</si>
  <si>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</si>
  <si>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</si>
  <si>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</si>
  <si>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</si>
  <si>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</si>
  <si>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</si>
  <si>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</si>
  <si>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</si>
  <si>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</si>
  <si>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</si>
  <si>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</si>
  <si>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</si>
  <si>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</si>
  <si>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</si>
  <si>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</si>
  <si>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</si>
  <si>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</si>
  <si>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</si>
  <si>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</si>
  <si>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</si>
  <si>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</si>
  <si>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</si>
  <si>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</si>
  <si>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</si>
  <si>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</si>
  <si>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</si>
  <si>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</si>
  <si>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</si>
  <si>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</si>
  <si>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</si>
  <si>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</si>
  <si>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</si>
  <si>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</si>
  <si>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</si>
  <si>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</si>
  <si>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</si>
  <si>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</si>
  <si>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</si>
  <si>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</si>
  <si>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</si>
  <si>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</si>
  <si>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</si>
  <si>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</si>
  <si>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</si>
  <si>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</si>
  <si>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</si>
  <si>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</si>
  <si>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</si>
  <si>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</si>
  <si>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</si>
  <si>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</si>
  <si>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</si>
  <si>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</si>
  <si>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</si>
  <si>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</si>
  <si>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</si>
  <si>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</si>
  <si>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</si>
  <si>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</si>
  <si>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</si>
  <si>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</si>
  <si>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</si>
  <si>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</si>
  <si>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</si>
  <si>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</si>
  <si>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</si>
  <si>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</si>
  <si>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</si>
  <si>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</si>
  <si>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</si>
  <si>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</si>
  <si>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</si>
  <si>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</si>
  <si>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</si>
  <si>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</si>
  <si>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</si>
  <si>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</si>
  <si>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</si>
  <si>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</si>
  <si>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</si>
  <si>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</si>
  <si>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</si>
  <si>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</si>
  <si>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</si>
  <si>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</si>
  <si>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</si>
  <si>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</si>
  <si>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</si>
  <si>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</si>
  <si>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</si>
  <si>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</si>
  <si>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</si>
  <si>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</si>
  <si>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</si>
  <si>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</si>
  <si>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</si>
  <si>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</si>
  <si>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</si>
  <si>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</si>
  <si>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</si>
  <si>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</si>
  <si>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</si>
  <si>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</si>
  <si>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</si>
  <si>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</si>
  <si>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</si>
  <si>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</si>
  <si>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</si>
  <si>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</si>
  <si>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</si>
  <si>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</si>
  <si>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</si>
  <si>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</si>
  <si>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</si>
  <si>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</si>
  <si>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</si>
  <si>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</si>
  <si>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</si>
  <si>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</si>
  <si>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</si>
  <si>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</si>
  <si>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</si>
  <si>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</si>
  <si>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</si>
  <si>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</si>
  <si>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</si>
  <si>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</si>
  <si>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</si>
  <si>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</si>
  <si>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</si>
  <si>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</si>
  <si>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</si>
  <si>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</si>
  <si>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</si>
  <si>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</si>
  <si>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</si>
  <si>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</si>
  <si>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</si>
  <si>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</si>
  <si>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</si>
  <si>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</si>
  <si>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</si>
  <si>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</si>
  <si>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</si>
  <si>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</si>
  <si>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</si>
  <si>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</si>
  <si>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</si>
  <si>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</si>
  <si>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</si>
  <si>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</si>
  <si>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</si>
  <si>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</si>
  <si>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</si>
  <si>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</si>
  <si>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</si>
  <si>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</si>
  <si>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</si>
  <si>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</si>
  <si>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</si>
  <si>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</si>
  <si>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</si>
  <si>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</si>
  <si>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</si>
  <si>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</si>
  <si>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</si>
  <si>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</si>
  <si>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</si>
  <si>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</si>
  <si>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</si>
  <si>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</si>
  <si>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</si>
  <si>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</si>
  <si>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</si>
  <si>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</si>
  <si>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</si>
  <si>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</si>
  <si>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</si>
  <si>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</si>
  <si>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</si>
  <si>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</si>
  <si>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</si>
  <si>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</si>
  <si>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</si>
  <si>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</si>
  <si>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</si>
  <si>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</si>
  <si>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</si>
  <si>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</si>
  <si>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</si>
  <si>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</si>
  <si>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</si>
  <si>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</si>
  <si>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</si>
  <si>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</si>
  <si>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</si>
  <si>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</si>
  <si>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</si>
  <si>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</si>
  <si>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</si>
  <si>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</si>
  <si>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</si>
  <si>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</si>
  <si>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</si>
  <si>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</si>
  <si>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</si>
  <si>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</si>
  <si>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</si>
  <si>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</si>
  <si>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</si>
  <si>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</si>
  <si>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</si>
  <si>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</si>
  <si>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</si>
  <si>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</si>
  <si>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</si>
  <si>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</si>
  <si>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</si>
  <si>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</si>
  <si>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</si>
  <si>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</si>
  <si>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</si>
  <si>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</si>
  <si>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</si>
  <si>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</si>
  <si>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</si>
  <si>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</si>
  <si>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</si>
  <si>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</si>
  <si>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</si>
  <si>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</si>
  <si>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</si>
  <si>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</si>
  <si>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</si>
  <si>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</si>
  <si>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</si>
  <si>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</si>
  <si>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</si>
  <si>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</si>
  <si>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</si>
  <si>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</si>
  <si>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</si>
  <si>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</si>
  <si>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</si>
  <si>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</si>
  <si>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</si>
  <si>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</si>
  <si>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</si>
  <si>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</si>
  <si>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</si>
  <si>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</si>
  <si>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</si>
  <si>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</si>
  <si>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</si>
  <si>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</si>
  <si>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</si>
  <si>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</si>
  <si>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</si>
  <si>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</si>
  <si>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</si>
  <si>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</si>
  <si>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</si>
  <si>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</si>
  <si>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</si>
  <si>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</si>
  <si>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</si>
  <si>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</si>
  <si>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</si>
  <si>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</si>
  <si>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</si>
  <si>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</si>
  <si>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</si>
  <si>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</si>
  <si>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</si>
  <si>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</si>
  <si>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</si>
  <si>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</si>
  <si>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</si>
  <si>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</si>
  <si>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</si>
  <si>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</si>
  <si>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</si>
  <si>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</si>
  <si>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</si>
  <si>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</si>
  <si>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</si>
  <si>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</si>
  <si>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</si>
  <si>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</si>
  <si>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</si>
  <si>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</si>
  <si>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</si>
  <si>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</si>
  <si>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</si>
  <si>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</si>
  <si>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</si>
  <si>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</si>
  <si>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</si>
  <si>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</si>
  <si>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</si>
  <si>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</si>
  <si>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</si>
  <si>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</si>
  <si>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</si>
  <si>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</si>
  <si>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</si>
  <si>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</si>
  <si>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</si>
  <si>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</si>
  <si>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</si>
  <si>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</si>
  <si>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</si>
  <si>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</si>
  <si>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</si>
  <si>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</si>
  <si>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</si>
  <si>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</si>
  <si>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</si>
  <si>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</si>
  <si>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</si>
  <si>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</si>
  <si>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</si>
  <si>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</si>
  <si>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</si>
  <si>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</si>
  <si>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</si>
  <si>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</si>
  <si>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</si>
  <si>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</si>
  <si>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</si>
  <si>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</si>
  <si>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</si>
  <si>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</si>
  <si>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</si>
  <si>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</si>
  <si>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</si>
  <si>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</si>
  <si>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</si>
  <si>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</si>
  <si>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</si>
  <si>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</si>
  <si>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</si>
  <si>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</si>
  <si>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</si>
  <si>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</si>
  <si>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</si>
  <si>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</si>
  <si>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</si>
  <si>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</si>
  <si>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</si>
  <si>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</si>
  <si>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</si>
  <si>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</si>
  <si>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</si>
  <si>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</si>
  <si>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</si>
  <si>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</si>
  <si>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</si>
  <si>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</si>
  <si>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</si>
  <si>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</si>
  <si>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</si>
  <si>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</si>
  <si>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</si>
  <si>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</si>
  <si>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</si>
  <si>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</si>
  <si>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</si>
  <si>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</si>
  <si>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</si>
  <si>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</si>
  <si>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</si>
  <si>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</si>
  <si>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</si>
  <si>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</si>
  <si>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</si>
  <si>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</si>
  <si>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</si>
  <si>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</si>
  <si>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</si>
  <si>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</si>
  <si>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</si>
  <si>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</si>
  <si>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</si>
  <si>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</si>
  <si>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</si>
  <si>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</si>
  <si>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</si>
  <si>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</si>
  <si>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</si>
  <si>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</si>
  <si>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</si>
  <si>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</si>
  <si>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</si>
  <si>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</si>
  <si>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</si>
  <si>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</si>
  <si>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</si>
  <si>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</si>
  <si>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</si>
  <si>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</si>
  <si>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</si>
  <si>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</si>
  <si>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</si>
  <si>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</si>
  <si>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</si>
  <si>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</si>
  <si>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</si>
  <si>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</si>
  <si>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</si>
  <si>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</si>
  <si>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</si>
  <si>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</si>
  <si>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</si>
  <si>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</si>
  <si>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</si>
  <si>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</si>
  <si>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</si>
  <si>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</si>
  <si>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</si>
  <si>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</si>
  <si>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</si>
  <si>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</si>
  <si>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</si>
  <si>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</si>
  <si>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</si>
  <si>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</si>
  <si>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</si>
  <si>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</si>
  <si>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</si>
  <si>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</si>
  <si>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</si>
  <si>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</si>
  <si>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</si>
  <si>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</si>
  <si>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</si>
  <si>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</si>
  <si>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</si>
  <si>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</si>
  <si>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</si>
  <si>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</si>
  <si>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</si>
  <si>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</si>
  <si>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</si>
  <si>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</si>
  <si>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</si>
  <si>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</si>
  <si>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</si>
  <si>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</si>
  <si>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</si>
  <si>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</si>
  <si>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</si>
  <si>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</si>
  <si>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</si>
  <si>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</si>
  <si>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</si>
  <si>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</si>
  <si>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</si>
  <si>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</si>
  <si>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</si>
  <si>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</si>
  <si>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</si>
  <si>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</si>
  <si>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</si>
  <si>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</si>
  <si>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</si>
  <si>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</si>
  <si>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</si>
  <si>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</si>
  <si>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</si>
  <si>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</si>
  <si>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</si>
  <si>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</si>
  <si>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</si>
  <si>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</si>
  <si>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</si>
  <si>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</si>
  <si>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</si>
  <si>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</si>
  <si>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</si>
  <si>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</si>
  <si>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</si>
  <si>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</si>
  <si>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</si>
  <si>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</si>
  <si>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</si>
  <si>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</si>
  <si>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</si>
  <si>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</si>
  <si>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</si>
  <si>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</si>
  <si>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</si>
  <si>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</si>
  <si>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</si>
  <si>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</si>
  <si>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</si>
  <si>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</si>
  <si>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</si>
  <si>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</si>
  <si>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</si>
  <si>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</si>
  <si>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</si>
  <si>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</si>
  <si>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</si>
  <si>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</si>
  <si>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</si>
  <si>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</si>
  <si>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</si>
  <si>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</si>
  <si>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</si>
  <si>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</si>
  <si>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</si>
  <si>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</si>
  <si>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</si>
  <si>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</si>
  <si>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</si>
  <si>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</si>
  <si>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</si>
  <si>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</si>
  <si>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</si>
  <si>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</si>
  <si>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</si>
  <si>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</si>
  <si>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</si>
  <si>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</si>
  <si>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</si>
  <si>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</si>
  <si>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</si>
  <si>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</si>
  <si>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</si>
  <si>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</si>
  <si>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</si>
  <si>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</si>
  <si>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</si>
  <si>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</si>
  <si>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</si>
  <si>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</si>
  <si>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</si>
  <si>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</si>
  <si>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</si>
  <si>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</si>
  <si>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</si>
  <si>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</si>
  <si>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</si>
  <si>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</si>
  <si>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</si>
  <si>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</si>
  <si>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</si>
  <si>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</si>
  <si>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</si>
  <si>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</si>
  <si>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</si>
  <si>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</si>
  <si>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</si>
  <si>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</si>
  <si>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</si>
  <si>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</si>
  <si>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</si>
  <si>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</si>
  <si>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</si>
  <si>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</si>
  <si>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</si>
  <si>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</si>
  <si>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</si>
  <si>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</si>
  <si>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</si>
  <si>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</si>
  <si>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</si>
  <si>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</si>
  <si>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</si>
  <si>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</si>
  <si>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</si>
  <si>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</si>
  <si>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</si>
  <si>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</si>
  <si>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</si>
  <si>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</si>
  <si>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</si>
  <si>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</si>
  <si>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</si>
  <si>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</si>
  <si>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</si>
  <si>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</si>
  <si>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</si>
  <si>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</si>
  <si>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</si>
  <si>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</si>
  <si>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</si>
  <si>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</si>
  <si>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</si>
  <si>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</si>
  <si>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</si>
  <si>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</si>
  <si>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</si>
  <si>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</si>
  <si>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</si>
  <si>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</si>
  <si>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</si>
  <si>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</si>
  <si>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</si>
  <si>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</si>
  <si>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</si>
  <si>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</si>
  <si>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</si>
  <si>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</si>
  <si>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</si>
  <si>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</si>
  <si>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</si>
  <si>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</si>
  <si>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</si>
  <si>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</si>
  <si>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</si>
  <si>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</si>
  <si>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</si>
  <si>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</si>
  <si>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</si>
  <si>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</si>
  <si>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</si>
  <si>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</si>
  <si>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</si>
  <si>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</si>
  <si>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</si>
  <si>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</si>
  <si>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</si>
  <si>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</si>
  <si>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</si>
  <si>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</si>
  <si>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</si>
  <si>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</si>
  <si>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</si>
  <si>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</si>
  <si>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</si>
  <si>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</si>
  <si>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</si>
  <si>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</si>
  <si>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</si>
  <si>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</si>
  <si>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</si>
  <si>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</si>
  <si>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</si>
  <si>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</si>
  <si>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</si>
  <si>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</si>
  <si>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</si>
  <si>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</si>
  <si>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</si>
  <si>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</si>
  <si>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</si>
  <si>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</si>
  <si>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</si>
  <si>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</si>
  <si>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</si>
  <si>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</si>
  <si>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</si>
  <si>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</si>
  <si>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</si>
  <si>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</si>
  <si>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</si>
  <si>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</si>
  <si>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</si>
  <si>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</si>
  <si>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</si>
  <si>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</si>
  <si>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</si>
  <si>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</si>
  <si>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</si>
  <si>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</si>
  <si>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</si>
  <si>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</si>
  <si>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</si>
  <si>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</si>
  <si>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</si>
  <si>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</si>
  <si>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</si>
  <si>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</si>
  <si>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</si>
  <si>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</si>
  <si>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</si>
  <si>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</si>
  <si>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</si>
  <si>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</si>
  <si>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</si>
  <si>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</si>
  <si>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</si>
  <si>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</si>
  <si>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</si>
  <si>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</si>
  <si>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</si>
  <si>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</si>
  <si>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</si>
  <si>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</si>
  <si>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</si>
  <si>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</si>
  <si>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</si>
  <si>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</si>
  <si>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</si>
  <si>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</si>
  <si>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</si>
  <si>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</si>
  <si>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</si>
  <si>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</si>
  <si>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</si>
  <si>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</si>
  <si>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</si>
  <si>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</si>
  <si>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</si>
  <si>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</si>
  <si>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</si>
  <si>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</si>
  <si>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</si>
  <si>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</si>
  <si>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</si>
  <si>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</si>
  <si>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</si>
  <si>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</si>
  <si>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</si>
  <si>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</si>
  <si>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</si>
  <si>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</si>
  <si>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</si>
  <si>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</si>
  <si>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</si>
  <si>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</si>
  <si>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</si>
  <si>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</si>
  <si>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</si>
  <si>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</si>
  <si>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</si>
  <si>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</si>
  <si>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</si>
  <si>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</si>
  <si>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</si>
  <si>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</si>
  <si>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</si>
  <si>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</si>
  <si>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</si>
  <si>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</si>
  <si>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</si>
  <si>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</si>
  <si>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</si>
  <si>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</si>
  <si>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</si>
  <si>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</si>
  <si>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</si>
  <si>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</si>
  <si>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</si>
  <si>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</si>
  <si>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</si>
  <si>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</si>
  <si>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</si>
  <si>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</si>
  <si>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</si>
  <si>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</si>
  <si>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</si>
  <si>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</si>
  <si>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</si>
  <si>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</si>
  <si>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</si>
  <si>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</si>
  <si>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</si>
  <si>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</si>
  <si>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</si>
  <si>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</si>
  <si>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</si>
  <si>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</si>
  <si>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</si>
  <si>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</si>
  <si>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</si>
  <si>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</si>
  <si>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</si>
  <si>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</si>
  <si>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</si>
  <si>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</si>
  <si>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</si>
  <si>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</si>
  <si>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</si>
  <si>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</si>
  <si>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</si>
  <si>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</si>
  <si>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</si>
  <si>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</si>
  <si>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</si>
  <si>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</si>
  <si>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</si>
  <si>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</si>
  <si>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</si>
  <si>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</si>
  <si>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</si>
  <si>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</si>
  <si>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</si>
  <si>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</si>
  <si>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</si>
  <si>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</si>
  <si>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</si>
  <si>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</si>
  <si>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</si>
  <si>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</si>
  <si>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</si>
  <si>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</si>
  <si>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</si>
  <si>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</si>
  <si>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</si>
  <si>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</si>
  <si>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</si>
  <si>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</si>
  <si>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</si>
  <si>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</si>
  <si>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</si>
  <si>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</si>
  <si>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</si>
  <si>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</si>
  <si>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</si>
  <si>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</si>
  <si>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</si>
  <si>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</si>
  <si>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</si>
  <si>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</si>
  <si>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</si>
  <si>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</si>
  <si>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</si>
  <si>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</si>
  <si>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</si>
  <si>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</si>
  <si>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</si>
  <si>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</si>
  <si>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</si>
  <si>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</si>
  <si>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</si>
  <si>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</si>
  <si>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</si>
  <si>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</si>
  <si>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</si>
  <si>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</si>
  <si>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</si>
  <si>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</si>
  <si>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</si>
  <si>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</si>
  <si>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</si>
  <si>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</si>
  <si>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</si>
  <si>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</si>
  <si>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</si>
  <si>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</si>
  <si>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</si>
  <si>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</si>
  <si>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</si>
  <si>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</si>
  <si>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</si>
  <si>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</si>
  <si>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</si>
  <si>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</si>
  <si>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</si>
  <si>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</si>
  <si>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</si>
  <si>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</si>
  <si>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</si>
  <si>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</si>
  <si>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</si>
  <si>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</si>
  <si>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</si>
  <si>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</si>
  <si>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</si>
  <si>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</si>
  <si>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</si>
  <si>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</si>
  <si>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</si>
  <si>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</si>
  <si>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</si>
  <si>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</si>
  <si>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</si>
  <si>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</si>
  <si>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</si>
  <si>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</si>
  <si>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</si>
  <si>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</si>
  <si>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</si>
  <si>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</si>
  <si>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</si>
  <si>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</si>
  <si>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</si>
  <si>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</si>
  <si>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</si>
  <si>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</si>
  <si>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</si>
  <si>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</si>
  <si>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</si>
  <si>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</si>
  <si>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</si>
  <si>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</si>
  <si>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</si>
  <si>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</si>
  <si>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</si>
  <si>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</si>
  <si>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</si>
  <si>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</si>
  <si>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</si>
  <si>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</si>
  <si>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</si>
  <si>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</si>
  <si>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</si>
  <si>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</si>
  <si>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</si>
  <si>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</si>
  <si>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</si>
  <si>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</si>
  <si>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</si>
  <si>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</si>
  <si>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</si>
  <si>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</si>
  <si>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</si>
  <si>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</si>
  <si>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</si>
  <si>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</si>
  <si>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</si>
  <si>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</si>
  <si>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</si>
  <si>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</si>
  <si>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</si>
  <si>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</si>
  <si>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</si>
  <si>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</si>
  <si>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</si>
  <si>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</si>
  <si>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</si>
  <si>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</si>
  <si>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</si>
  <si>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</si>
  <si>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</si>
  <si>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</si>
  <si>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</si>
  <si>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</si>
  <si>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</si>
  <si>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</si>
  <si>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</si>
  <si>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</si>
  <si>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</si>
  <si>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</si>
  <si>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</si>
  <si>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</si>
  <si>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</si>
  <si>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</si>
  <si>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</si>
  <si>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</si>
  <si>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</si>
  <si>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</si>
  <si>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</si>
  <si>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</si>
  <si>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</si>
  <si>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</si>
  <si>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</si>
  <si>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</si>
  <si>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</si>
  <si>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</si>
  <si>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</si>
  <si>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</si>
  <si>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</si>
  <si>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</si>
  <si>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</si>
  <si>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</si>
  <si>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</si>
  <si>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</si>
  <si>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</si>
  <si>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</si>
  <si>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</si>
  <si>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</si>
  <si>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</si>
  <si>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</si>
  <si>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</si>
  <si>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</si>
  <si>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</si>
  <si>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</si>
  <si>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</si>
  <si>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</si>
  <si>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</si>
  <si>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</si>
  <si>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</si>
  <si>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</si>
  <si>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</si>
  <si>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</si>
  <si>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</si>
  <si>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</si>
  <si>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</si>
  <si>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</si>
  <si>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</si>
  <si>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</si>
  <si>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</si>
  <si>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</si>
  <si>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</si>
  <si>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</si>
  <si>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</si>
  <si>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</si>
  <si>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</si>
  <si>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</si>
  <si>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</si>
  <si>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</si>
  <si>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</si>
  <si>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</si>
  <si>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</si>
  <si>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</si>
  <si>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</si>
  <si>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</si>
  <si>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</si>
  <si>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</si>
  <si>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</si>
  <si>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</si>
  <si>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</si>
  <si>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</si>
  <si>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</si>
  <si>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</si>
  <si>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</si>
  <si>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</si>
  <si>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</si>
  <si>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</si>
  <si>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</si>
  <si>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</si>
  <si>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</si>
  <si>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</si>
  <si>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</si>
  <si>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</si>
  <si>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</si>
  <si>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</si>
  <si>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</si>
  <si>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</si>
  <si>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</si>
  <si>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</si>
  <si>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</si>
  <si>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</si>
  <si>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</si>
  <si>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</si>
  <si>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</si>
  <si>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</si>
  <si>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</si>
  <si>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</si>
  <si>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</si>
  <si>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</si>
  <si>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</si>
  <si>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</si>
  <si>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</si>
  <si>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</si>
  <si>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</si>
  <si>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</si>
  <si>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</si>
  <si>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</si>
  <si>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</si>
  <si>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</si>
  <si>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</si>
  <si>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</si>
  <si>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</si>
  <si>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</si>
  <si>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</si>
  <si>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</si>
  <si>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</si>
  <si>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</si>
  <si>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</si>
  <si>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</si>
  <si>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</si>
  <si>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</si>
  <si>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</si>
  <si>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</si>
  <si>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</si>
  <si>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</si>
  <si>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</si>
  <si>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</si>
  <si>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</si>
  <si>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</si>
  <si>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</si>
  <si>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</si>
  <si>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</si>
  <si>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</si>
  <si>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</si>
  <si>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</si>
  <si>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</si>
  <si>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</si>
  <si>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</si>
  <si>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</si>
  <si>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</si>
  <si>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</si>
  <si>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</si>
  <si>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</si>
  <si>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</si>
  <si>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</si>
  <si>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</si>
  <si>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</si>
  <si>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</si>
  <si>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</si>
  <si>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</si>
  <si>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</si>
  <si>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</si>
  <si>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</si>
  <si>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</si>
  <si>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</si>
  <si>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</si>
  <si>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</si>
  <si>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</si>
  <si>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</si>
  <si>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</si>
  <si>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</si>
  <si>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</si>
  <si>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</si>
  <si>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</si>
  <si>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</si>
  <si>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</si>
  <si>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</si>
  <si>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</si>
  <si>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</si>
  <si>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</si>
  <si>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</si>
  <si>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</si>
  <si>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</si>
  <si>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</si>
  <si>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</si>
  <si>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</si>
  <si>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</si>
  <si>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</si>
  <si>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</si>
  <si>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</si>
  <si>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</si>
  <si>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</si>
  <si>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</si>
  <si>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</si>
  <si>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</si>
  <si>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</si>
  <si>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</si>
  <si>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</si>
  <si>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</si>
  <si>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</si>
  <si>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</si>
  <si>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</si>
  <si>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</si>
  <si>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</si>
  <si>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</si>
  <si>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</si>
  <si>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</si>
  <si>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</si>
  <si>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</si>
  <si>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</si>
  <si>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</si>
  <si>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</si>
  <si>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</si>
  <si>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</si>
  <si>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</si>
  <si>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</si>
  <si>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</si>
  <si>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</si>
  <si>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</si>
  <si>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</si>
  <si>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</si>
  <si>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</si>
  <si>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</si>
  <si>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</si>
  <si>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</si>
  <si>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</si>
  <si>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</si>
  <si>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</si>
  <si>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</si>
  <si>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</si>
  <si>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</si>
  <si>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</si>
  <si>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</si>
  <si>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</si>
  <si>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</si>
  <si>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</si>
  <si>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</si>
  <si>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</si>
  <si>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</si>
  <si>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</si>
  <si>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</si>
  <si>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</si>
  <si>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</si>
  <si>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</si>
  <si>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</si>
  <si>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</si>
  <si>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</si>
  <si>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</si>
  <si>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</si>
  <si>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</si>
  <si>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</si>
  <si>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</si>
  <si>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</si>
  <si>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</si>
  <si>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</si>
  <si>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</si>
  <si>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</si>
  <si>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</si>
  <si>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</si>
  <si>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</si>
  <si>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</si>
  <si>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</si>
  <si>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</si>
  <si>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</si>
  <si>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</si>
  <si>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</si>
  <si>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</si>
  <si>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</si>
  <si>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</si>
  <si>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</si>
  <si>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</si>
  <si>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</si>
  <si>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</si>
  <si>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</si>
  <si>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</si>
  <si>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</si>
  <si>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</si>
  <si>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</si>
  <si>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</si>
  <si>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</si>
  <si>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</si>
  <si>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</si>
  <si>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</si>
  <si>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</si>
  <si>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</si>
  <si>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</si>
  <si>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</si>
  <si>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</si>
  <si>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</si>
  <si>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</si>
  <si>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</si>
  <si>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</si>
  <si>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</si>
  <si>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</si>
  <si>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</si>
  <si>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</si>
  <si>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</si>
  <si>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</si>
  <si>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</si>
  <si>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</si>
  <si>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</si>
  <si>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</si>
  <si>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</si>
  <si>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</si>
  <si>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</si>
  <si>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</si>
  <si>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</si>
  <si>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</si>
  <si>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</si>
  <si>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</si>
  <si>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</si>
  <si>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</si>
  <si>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</si>
  <si>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</si>
  <si>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</si>
  <si>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</si>
  <si>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</si>
  <si>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</si>
  <si>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</si>
  <si>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</si>
  <si>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</si>
  <si>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</si>
  <si>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</si>
  <si>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</si>
  <si>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</si>
  <si>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</si>
  <si>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</si>
  <si>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</si>
  <si>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</si>
  <si>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</si>
  <si>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</si>
  <si>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</si>
  <si>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</si>
  <si>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</si>
  <si>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</si>
  <si>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</si>
  <si>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</si>
  <si>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</si>
  <si>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</si>
  <si>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</si>
  <si>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</si>
  <si>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</si>
  <si>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</si>
  <si>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</si>
  <si>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</si>
  <si>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</si>
  <si>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</si>
  <si>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</si>
  <si>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</si>
  <si>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</si>
  <si>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</si>
  <si>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</si>
  <si>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</si>
  <si>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</si>
  <si>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</si>
  <si>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</si>
  <si>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</si>
  <si>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</si>
  <si>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</si>
  <si>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</si>
  <si>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</si>
  <si>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</si>
  <si>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</si>
  <si>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</si>
  <si>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</si>
  <si>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</si>
  <si>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</si>
  <si>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</si>
  <si>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</si>
  <si>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</si>
  <si>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</si>
  <si>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</si>
  <si>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</si>
  <si>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</si>
  <si>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</si>
  <si>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</si>
  <si>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</si>
  <si>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</si>
  <si>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</si>
  <si>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</si>
  <si>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</si>
  <si>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</si>
  <si>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</si>
  <si>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</si>
  <si>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</si>
  <si>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</si>
  <si>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</si>
  <si>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</si>
  <si>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</si>
  <si>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</si>
  <si>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</si>
  <si>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</si>
  <si>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</si>
  <si>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</si>
  <si>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</si>
  <si>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</si>
  <si>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</si>
  <si>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</si>
  <si>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</si>
  <si>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</si>
  <si>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</si>
  <si>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</si>
  <si>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</si>
  <si>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</si>
  <si>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</si>
  <si>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</si>
  <si>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</si>
  <si>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</si>
  <si>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</si>
  <si>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</si>
  <si>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</si>
  <si>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</si>
  <si>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</si>
  <si>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</si>
  <si>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</si>
  <si>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</si>
  <si>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</si>
  <si>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</si>
  <si>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</si>
  <si>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</si>
  <si>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</si>
  <si>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</si>
  <si>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</si>
  <si>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</si>
  <si>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</si>
  <si>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</si>
  <si>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</si>
  <si>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</si>
  <si>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</si>
  <si>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</si>
  <si>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</si>
  <si>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</si>
  <si>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</si>
  <si>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</si>
  <si>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</si>
  <si>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</si>
  <si>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</si>
  <si>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</si>
  <si>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</si>
  <si>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</si>
  <si>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</si>
  <si>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</si>
  <si>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</si>
  <si>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</si>
  <si>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</si>
  <si>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</si>
  <si>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</si>
  <si>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</si>
  <si>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</si>
  <si>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</si>
  <si>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</si>
  <si>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</si>
  <si>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</si>
  <si>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</si>
  <si>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</si>
  <si>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</si>
  <si>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</si>
  <si>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</si>
  <si>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</si>
  <si>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</si>
  <si>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</si>
  <si>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</si>
  <si>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</si>
  <si>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</si>
  <si>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</si>
  <si>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</si>
  <si>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</si>
  <si>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</si>
  <si>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</si>
  <si>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</si>
  <si>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</si>
  <si>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</si>
  <si>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</si>
  <si>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</si>
  <si>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</si>
  <si>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</si>
  <si>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</si>
  <si>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</si>
  <si>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</si>
  <si>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</si>
  <si>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</si>
  <si>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</si>
  <si>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</si>
  <si>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</si>
  <si>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</si>
  <si>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</si>
  <si>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</si>
  <si>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</si>
  <si>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</si>
  <si>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</si>
  <si>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</si>
  <si>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</si>
  <si>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</si>
  <si>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</si>
  <si>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</si>
  <si>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</si>
  <si>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</si>
  <si>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</si>
  <si>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</si>
  <si>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</si>
  <si>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</si>
  <si>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</si>
  <si>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</si>
  <si>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</si>
  <si>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</si>
  <si>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</si>
  <si>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</si>
  <si>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</si>
  <si>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</si>
  <si>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</si>
  <si>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</si>
  <si>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</si>
  <si>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</si>
  <si>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</si>
  <si>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</si>
  <si>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</si>
  <si>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</si>
  <si>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</si>
  <si>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</si>
  <si>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</si>
  <si>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</si>
  <si>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</si>
  <si>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</si>
  <si>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</si>
  <si>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</si>
  <si>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</si>
  <si>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</si>
  <si>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</si>
  <si>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</si>
  <si>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</si>
  <si>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</si>
  <si>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</si>
  <si>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</si>
  <si>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</si>
  <si>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</si>
  <si>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</si>
  <si>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</si>
  <si>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</si>
  <si>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</si>
  <si>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</si>
  <si>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</si>
  <si>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</si>
  <si>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</si>
  <si>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</si>
  <si>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</si>
  <si>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</si>
  <si>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</si>
  <si>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</si>
  <si>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</si>
  <si>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</si>
  <si>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</si>
  <si>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</si>
  <si>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</si>
  <si>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</si>
  <si>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</si>
  <si>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</si>
  <si>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</si>
  <si>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</si>
  <si>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</si>
  <si>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</si>
  <si>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</si>
  <si>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</si>
  <si>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</si>
  <si>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</si>
  <si>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</si>
  <si>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</si>
  <si>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</si>
  <si>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</si>
  <si>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</si>
  <si>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</si>
  <si>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</si>
  <si>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</si>
  <si>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</si>
  <si>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</si>
  <si>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</si>
  <si>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</si>
  <si>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</si>
  <si>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</si>
  <si>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</si>
  <si>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</si>
  <si>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</si>
  <si>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</si>
  <si>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</si>
  <si>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</si>
  <si>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</si>
  <si>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</si>
  <si>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</si>
  <si>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</si>
  <si>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</si>
  <si>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</si>
  <si>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</si>
  <si>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</si>
  <si>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</si>
  <si>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</si>
  <si>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</si>
  <si>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</si>
  <si>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</si>
  <si>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</si>
  <si>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</si>
  <si>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</si>
  <si>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</si>
  <si>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</si>
  <si>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</si>
  <si>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</si>
  <si>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</si>
  <si>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</si>
  <si>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</si>
  <si>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</si>
  <si>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</si>
  <si>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</si>
  <si>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</si>
  <si>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</si>
  <si>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</si>
  <si>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</si>
  <si>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</si>
  <si>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</si>
  <si>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</si>
  <si>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</si>
  <si>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</si>
  <si>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</si>
  <si>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</si>
  <si>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</si>
  <si>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</si>
  <si>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</si>
  <si>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</si>
  <si>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</si>
  <si>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</si>
  <si>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</si>
  <si>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</si>
  <si>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</si>
  <si>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</si>
  <si>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</si>
  <si>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</si>
  <si>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</si>
  <si>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</si>
  <si>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</si>
  <si>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</si>
  <si>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</si>
  <si>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</si>
  <si>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</si>
  <si>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</si>
  <si>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</si>
  <si>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</si>
  <si>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</si>
  <si>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</si>
  <si>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</si>
  <si>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</si>
  <si>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</si>
  <si>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</si>
  <si>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</si>
  <si>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</si>
  <si>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</si>
  <si>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</si>
  <si>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</si>
  <si>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</si>
  <si>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</si>
  <si>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</si>
  <si>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</si>
  <si>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</si>
  <si>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</si>
  <si>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</si>
  <si>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</si>
  <si>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</si>
  <si>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</si>
  <si>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</si>
  <si>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</si>
  <si>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</si>
  <si>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</si>
  <si>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</si>
  <si>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</si>
  <si>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</si>
  <si>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</si>
  <si>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</si>
  <si>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</si>
  <si>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</si>
  <si>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</si>
  <si>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</si>
  <si>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</si>
  <si>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</si>
  <si>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</si>
  <si>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</si>
  <si>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</si>
  <si>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</si>
  <si>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</si>
  <si>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</si>
  <si>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</si>
  <si>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</si>
  <si>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</si>
  <si>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</si>
  <si>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</si>
  <si>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</si>
  <si>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</si>
  <si>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</si>
  <si>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</si>
  <si>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</si>
  <si>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</si>
  <si>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</si>
  <si>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</si>
  <si>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</si>
  <si>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</si>
  <si>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</si>
  <si>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</si>
  <si>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</si>
  <si>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</si>
  <si>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</si>
  <si>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</si>
  <si>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</si>
  <si>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</si>
  <si>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</si>
  <si>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</si>
  <si>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</si>
  <si>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</si>
  <si>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</si>
  <si>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</si>
  <si>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</si>
  <si>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</si>
  <si>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</si>
  <si>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</si>
  <si>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</si>
  <si>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</si>
  <si>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</si>
  <si>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</si>
  <si>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</si>
  <si>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</si>
  <si>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</si>
  <si>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</si>
  <si>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</si>
  <si>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</si>
  <si>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</si>
  <si>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</si>
  <si>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</si>
  <si>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</si>
  <si>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</si>
  <si>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</si>
  <si>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</si>
  <si>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</si>
  <si>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</si>
  <si>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</si>
  <si>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</si>
  <si>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</si>
  <si>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</si>
  <si>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</si>
  <si>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</si>
  <si>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</si>
  <si>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</si>
  <si>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</si>
  <si>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</si>
  <si>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</si>
  <si>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</si>
  <si>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</si>
  <si>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</si>
  <si>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</si>
  <si>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</si>
  <si>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</si>
  <si>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</si>
  <si>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</si>
  <si>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</si>
  <si>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</si>
  <si>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</si>
  <si>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</si>
  <si>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</si>
  <si>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</si>
  <si>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</si>
  <si>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</si>
  <si>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</si>
  <si>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</si>
  <si>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</si>
  <si>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</si>
  <si>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</si>
  <si>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</si>
  <si>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</si>
  <si>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</si>
  <si>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</si>
  <si>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</si>
  <si>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</si>
  <si>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</si>
  <si>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</si>
  <si>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</si>
  <si>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</si>
  <si>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</si>
  <si>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</si>
  <si>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</si>
  <si>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</si>
  <si>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</si>
  <si>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</si>
  <si>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</si>
  <si>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</si>
  <si>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</si>
  <si>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</si>
  <si>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</si>
  <si>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</si>
  <si>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</si>
  <si>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</si>
  <si>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</si>
  <si>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</si>
  <si>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</si>
  <si>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</si>
  <si>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</si>
  <si>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</si>
  <si>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</si>
  <si>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</si>
  <si>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</si>
  <si>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</si>
  <si>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</si>
  <si>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</si>
  <si>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</si>
  <si>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</si>
  <si>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</si>
  <si>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</si>
  <si>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</si>
  <si>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</si>
  <si>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</si>
  <si>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</si>
  <si>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</si>
  <si>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</si>
  <si>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</si>
  <si>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</si>
  <si>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</si>
  <si>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</si>
  <si>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</si>
  <si>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</si>
  <si>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</si>
  <si>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</si>
  <si>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</si>
  <si>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</si>
  <si>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</si>
  <si>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</si>
  <si>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</si>
  <si>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</si>
  <si>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</si>
  <si>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</si>
  <si>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</si>
  <si>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</si>
  <si>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</si>
  <si>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</si>
  <si>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</si>
  <si>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</si>
  <si>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</si>
  <si>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</si>
  <si>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</si>
  <si>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</si>
  <si>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</si>
  <si>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</si>
  <si>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</si>
  <si>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</si>
  <si>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</si>
  <si>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</si>
  <si>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</si>
  <si>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</si>
  <si>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</si>
  <si>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</si>
  <si>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</si>
  <si>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</si>
  <si>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</si>
  <si>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</si>
  <si>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</si>
  <si>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</si>
  <si>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</si>
  <si>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</si>
  <si>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</si>
  <si>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</si>
  <si>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</si>
  <si>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</si>
  <si>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</si>
  <si>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</si>
  <si>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</si>
  <si>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</si>
  <si>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</si>
  <si>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</si>
  <si>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</si>
  <si>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</si>
  <si>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</si>
  <si>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</si>
  <si>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</si>
  <si>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</si>
  <si>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</si>
  <si>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</si>
  <si>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</si>
  <si>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</si>
  <si>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</si>
  <si>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</si>
  <si>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</si>
  <si>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</si>
  <si>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</si>
  <si>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</si>
  <si>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</si>
  <si>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</si>
  <si>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</si>
  <si>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</si>
  <si>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</si>
  <si>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</si>
  <si>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</si>
  <si>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</si>
  <si>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</si>
  <si>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</si>
  <si>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</si>
  <si>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</si>
  <si>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</si>
  <si>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</si>
  <si>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</si>
  <si>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</si>
  <si>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</si>
  <si>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</si>
  <si>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</si>
  <si>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</si>
  <si>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</si>
  <si>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</si>
  <si>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</si>
  <si>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</si>
  <si>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</si>
  <si>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</si>
  <si>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</si>
  <si>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</si>
  <si>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</si>
  <si>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</si>
  <si>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</si>
  <si>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</si>
  <si>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</si>
  <si>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</si>
  <si>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</si>
  <si>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</si>
  <si>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</si>
  <si>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</si>
  <si>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</si>
  <si>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</si>
  <si>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</si>
  <si>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</si>
  <si>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</si>
  <si>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</si>
  <si>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</si>
  <si>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</si>
  <si>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</si>
  <si>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</si>
  <si>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</si>
  <si>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</si>
  <si>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</si>
  <si>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</si>
  <si>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</si>
  <si>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</si>
  <si>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</si>
  <si>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</si>
  <si>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</si>
  <si>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</si>
  <si>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</si>
  <si>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</si>
  <si>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</si>
  <si>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</si>
  <si>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</si>
  <si>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</si>
  <si>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</si>
  <si>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</si>
  <si>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</si>
  <si>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</si>
  <si>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</si>
  <si>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</si>
  <si>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</si>
  <si>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</si>
  <si>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</si>
  <si>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</si>
  <si>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</si>
  <si>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</si>
  <si>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</si>
  <si>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</si>
  <si>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</si>
  <si>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</si>
  <si>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</si>
  <si>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</si>
  <si>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</si>
  <si>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</si>
  <si>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</si>
  <si>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</si>
  <si>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</si>
  <si>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</si>
  <si>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</si>
  <si>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</si>
  <si>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</si>
  <si>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</si>
  <si>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</si>
  <si>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</si>
  <si>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</si>
  <si>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</si>
  <si>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</si>
  <si>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</si>
  <si>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</si>
  <si>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</si>
  <si>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</si>
  <si>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</si>
  <si>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</si>
  <si>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</si>
  <si>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</si>
  <si>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</si>
  <si>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</si>
  <si>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</si>
  <si>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</si>
  <si>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</si>
  <si>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</si>
  <si>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</si>
  <si>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</si>
  <si>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</si>
  <si>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</si>
  <si>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</si>
  <si>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</si>
  <si>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</si>
  <si>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</si>
  <si>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</si>
  <si>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</si>
  <si>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</si>
  <si>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</si>
  <si>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</si>
  <si>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</si>
  <si>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</si>
  <si>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</si>
  <si>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</si>
  <si>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</si>
  <si>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</si>
  <si>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</si>
  <si>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</si>
  <si>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</si>
  <si>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</si>
  <si>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</si>
  <si>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</si>
  <si>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</si>
  <si>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</si>
  <si>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</si>
  <si>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</si>
  <si>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</si>
  <si>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</si>
  <si>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</si>
  <si>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</si>
  <si>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</si>
  <si>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</si>
  <si>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</si>
  <si>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</si>
  <si>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</si>
  <si>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</si>
  <si>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</si>
  <si>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</si>
  <si>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</si>
  <si>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</si>
  <si>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</si>
  <si>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</si>
  <si>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</si>
  <si>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</si>
  <si>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</si>
  <si>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</si>
  <si>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</si>
  <si>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</si>
  <si>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</si>
  <si>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</si>
  <si>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</si>
  <si>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</si>
  <si>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</si>
  <si>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</si>
  <si>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</si>
  <si>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</si>
  <si>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</si>
  <si>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</si>
  <si>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</si>
  <si>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</si>
  <si>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</si>
  <si>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</si>
  <si>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</si>
  <si>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</si>
  <si>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</si>
  <si>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</si>
  <si>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</si>
  <si>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</si>
  <si>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</si>
  <si>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</si>
  <si>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</si>
  <si>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</si>
  <si>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</si>
  <si>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</si>
  <si>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</si>
  <si>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</si>
  <si>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</si>
  <si>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</si>
  <si>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</si>
  <si>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</si>
  <si>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</si>
  <si>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</si>
  <si>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</si>
  <si>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</si>
  <si>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</si>
  <si>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</si>
  <si>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</si>
  <si>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</si>
  <si>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</si>
  <si>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</si>
  <si>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</si>
  <si>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</si>
  <si>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</si>
  <si>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</si>
  <si>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</si>
  <si>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</si>
  <si>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</si>
  <si>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</si>
  <si>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</si>
  <si>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</si>
  <si>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</si>
  <si>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</si>
  <si>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</si>
  <si>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</si>
  <si>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</si>
  <si>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</si>
  <si>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</si>
  <si>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</si>
  <si>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</si>
  <si>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</si>
  <si>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</si>
  <si>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</si>
  <si>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</si>
  <si>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</si>
  <si>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</si>
  <si>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</si>
  <si>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</si>
  <si>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</si>
  <si>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</si>
  <si>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</si>
  <si>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</si>
  <si>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</si>
  <si>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</si>
  <si>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</si>
  <si>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</si>
  <si>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</si>
  <si>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</si>
  <si>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</si>
  <si>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</si>
  <si>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</si>
  <si>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</si>
  <si>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</si>
  <si>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</si>
  <si>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</si>
  <si>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</si>
  <si>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</si>
  <si>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</si>
  <si>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</si>
  <si>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</si>
  <si>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</si>
  <si>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</si>
  <si>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</si>
  <si>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</si>
  <si>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</si>
  <si>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</si>
  <si>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</si>
  <si>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</si>
  <si>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</si>
  <si>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</si>
  <si>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</si>
  <si>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</si>
  <si>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</si>
  <si>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</si>
  <si>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</si>
  <si>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</si>
  <si>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</si>
  <si>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</si>
  <si>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</si>
  <si>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</si>
  <si>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</si>
  <si>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</si>
  <si>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</si>
  <si>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</si>
  <si>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</si>
  <si>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</si>
  <si>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</si>
  <si>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</si>
  <si>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</si>
  <si>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</si>
  <si>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</si>
  <si>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</si>
  <si>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</si>
  <si>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</si>
  <si>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</si>
  <si>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</si>
  <si>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</si>
  <si>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</si>
  <si>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</si>
  <si>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</si>
  <si>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</si>
  <si>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</si>
  <si>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</si>
  <si>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</si>
  <si>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</si>
  <si>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</si>
  <si>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</si>
  <si>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</si>
  <si>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</si>
  <si>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</si>
  <si>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</si>
  <si>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</si>
  <si>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</si>
  <si>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</si>
  <si>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</si>
  <si>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</si>
  <si>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</si>
  <si>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</si>
  <si>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</si>
  <si>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</si>
  <si>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</si>
  <si>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</si>
  <si>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</si>
  <si>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</si>
  <si>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</si>
  <si>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</si>
  <si>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</si>
  <si>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</si>
  <si>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</si>
  <si>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</si>
  <si>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</si>
  <si>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</si>
  <si>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</si>
  <si>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</si>
  <si>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</si>
  <si>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</si>
  <si>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</si>
  <si>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</si>
  <si>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</si>
  <si>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</si>
  <si>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</si>
  <si>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</si>
  <si>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</si>
  <si>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</si>
  <si>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</si>
  <si>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</si>
  <si>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</si>
  <si>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</si>
  <si>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</si>
  <si>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</si>
  <si>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</si>
  <si>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</si>
  <si>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</si>
  <si>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</si>
  <si>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</si>
  <si>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</si>
  <si>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</si>
  <si>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</si>
  <si>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</si>
  <si>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</si>
  <si>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</si>
  <si>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</si>
  <si>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</si>
  <si>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</si>
  <si>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</si>
  <si>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</si>
  <si>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</si>
  <si>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</si>
  <si>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</si>
  <si>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</si>
  <si>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</si>
  <si>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</si>
  <si>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</si>
  <si>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</si>
  <si>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</si>
  <si>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</si>
  <si>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</si>
  <si>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</si>
  <si>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</si>
  <si>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</si>
  <si>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</si>
  <si>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</si>
  <si>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</si>
  <si>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</si>
  <si>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</si>
  <si>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</si>
  <si>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</si>
  <si>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</si>
  <si>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</si>
  <si>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</si>
  <si>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</si>
  <si>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</si>
  <si>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</si>
  <si>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</si>
  <si>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</si>
  <si>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</si>
  <si>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</si>
  <si>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</si>
  <si>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</si>
  <si>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</si>
  <si>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</si>
  <si>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</si>
  <si>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</si>
  <si>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</si>
  <si>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</si>
  <si>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</si>
  <si>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</si>
  <si>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</si>
  <si>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</si>
  <si>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</si>
  <si>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</si>
  <si>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</si>
  <si>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</si>
  <si>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</si>
  <si>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</si>
  <si>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</si>
  <si>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</si>
  <si>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</si>
  <si>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</si>
  <si>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</si>
  <si>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</si>
  <si>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</si>
  <si>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</si>
  <si>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</si>
  <si>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</si>
  <si>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</si>
  <si>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</si>
  <si>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</si>
  <si>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</si>
  <si>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</si>
  <si>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</si>
  <si>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</si>
  <si>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</si>
  <si>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</si>
  <si>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</si>
  <si>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</si>
  <si>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</si>
  <si>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</si>
  <si>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</si>
  <si>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</si>
  <si>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</si>
  <si>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</si>
  <si>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</si>
  <si>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</si>
  <si>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</si>
  <si>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</si>
  <si>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</si>
  <si>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</si>
  <si>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</si>
  <si>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</si>
  <si>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</si>
  <si>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</si>
  <si>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</si>
  <si>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</si>
  <si>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</si>
  <si>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</si>
  <si>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</si>
  <si>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</si>
  <si>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</si>
  <si>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</si>
  <si>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</si>
  <si>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</si>
  <si>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</si>
  <si>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</si>
  <si>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</si>
  <si>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</si>
  <si>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</si>
  <si>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</si>
  <si>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</si>
  <si>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</si>
  <si>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</si>
  <si>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</si>
  <si>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</si>
  <si>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</si>
  <si>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</si>
  <si>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</si>
  <si>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</si>
  <si>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</si>
  <si>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</si>
  <si>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</si>
  <si>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</si>
  <si>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</si>
  <si>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</si>
  <si>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</si>
  <si>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</si>
  <si>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</si>
  <si>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</si>
  <si>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</si>
  <si>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</si>
  <si>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</si>
  <si>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</si>
  <si>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</si>
  <si>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</si>
  <si>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</si>
  <si>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</si>
  <si>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</si>
  <si>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</si>
  <si>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</si>
  <si>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</si>
  <si>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</si>
  <si>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</si>
  <si>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</si>
  <si>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</si>
  <si>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</si>
  <si>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</si>
  <si>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</si>
  <si>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</si>
  <si>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</si>
  <si>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</si>
  <si>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</si>
  <si>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</si>
  <si>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</si>
  <si>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</si>
  <si>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</si>
  <si>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</si>
  <si>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</si>
  <si>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</si>
  <si>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</si>
  <si>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</si>
  <si>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</si>
  <si>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</si>
  <si>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</si>
  <si>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</si>
  <si>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</si>
  <si>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</si>
  <si>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</si>
  <si>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</si>
  <si>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</si>
  <si>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</si>
  <si>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</si>
  <si>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</si>
  <si>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</si>
  <si>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</si>
  <si>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</si>
  <si>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</si>
  <si>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</si>
  <si>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</si>
  <si>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</si>
  <si>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</si>
  <si>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</si>
  <si>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</si>
  <si>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</si>
  <si>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</si>
  <si>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</si>
  <si>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</si>
  <si>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</si>
  <si>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</si>
  <si>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</si>
  <si>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</si>
  <si>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</si>
  <si>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</si>
  <si>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</si>
  <si>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</si>
  <si>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</si>
  <si>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</si>
  <si>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</si>
  <si>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</si>
  <si>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</si>
  <si>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</si>
  <si>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</si>
  <si>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</si>
  <si>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</si>
  <si>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</si>
  <si>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</si>
  <si>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</si>
  <si>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</si>
  <si>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</si>
  <si>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</si>
  <si>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</si>
  <si>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</si>
  <si>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</si>
  <si>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</si>
  <si>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</si>
  <si>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</si>
  <si>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</si>
  <si>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</si>
  <si>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</si>
  <si>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</si>
  <si>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</si>
  <si>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</si>
  <si>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</si>
  <si>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</si>
  <si>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</si>
  <si>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</si>
  <si>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</si>
  <si>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</si>
  <si>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</si>
  <si>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</si>
  <si>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</si>
  <si>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</si>
  <si>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</si>
  <si>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</si>
  <si>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</si>
  <si>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</si>
  <si>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</si>
  <si>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</si>
  <si>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</si>
  <si>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</si>
  <si>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</si>
  <si>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</si>
  <si>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</si>
  <si>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</si>
  <si>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</si>
  <si>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</si>
  <si>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</si>
  <si>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</si>
  <si>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</si>
  <si>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</si>
  <si>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</si>
  <si>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</si>
  <si>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</si>
  <si>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</si>
  <si>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</si>
  <si>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</si>
  <si>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</si>
  <si>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</si>
  <si>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</si>
  <si>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</si>
  <si>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</si>
  <si>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</si>
  <si>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</si>
  <si>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</si>
  <si>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</si>
  <si>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</si>
  <si>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</si>
  <si>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</si>
  <si>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</si>
  <si>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</si>
  <si>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</si>
  <si>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</si>
  <si>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</si>
  <si>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</si>
  <si>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</si>
  <si>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</si>
  <si>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</si>
  <si>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</si>
  <si>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</si>
  <si>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</si>
  <si>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</si>
  <si>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</si>
  <si>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</si>
  <si>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</si>
  <si>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</si>
  <si>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</si>
  <si>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</si>
  <si>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</si>
  <si>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</si>
  <si>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</si>
  <si>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</si>
  <si>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</si>
  <si>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</si>
  <si>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</si>
  <si>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</si>
  <si>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</si>
  <si>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</si>
  <si>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</si>
  <si>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</si>
  <si>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</si>
  <si>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</si>
  <si>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</si>
  <si>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</si>
  <si>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</si>
  <si>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</si>
  <si>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</si>
  <si>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</si>
  <si>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</si>
  <si>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</si>
  <si>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</si>
  <si>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</si>
  <si>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</si>
  <si>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</si>
  <si>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</si>
  <si>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</si>
  <si>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</si>
  <si>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</si>
  <si>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</si>
  <si>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</si>
  <si>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</si>
  <si>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</si>
  <si>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</si>
  <si>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</si>
  <si>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</si>
  <si>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</si>
  <si>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</si>
  <si>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</si>
  <si>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</si>
  <si>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</si>
  <si>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</si>
  <si>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</si>
  <si>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</si>
  <si>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</si>
  <si>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</si>
  <si>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</si>
  <si>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</si>
  <si>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</si>
  <si>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</si>
  <si>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</si>
  <si>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</si>
  <si>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</si>
  <si>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</si>
  <si>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</si>
  <si>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</si>
  <si>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</si>
  <si>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</si>
  <si>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</si>
  <si>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</si>
  <si>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</si>
  <si>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</si>
  <si>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</si>
  <si>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</si>
  <si>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</si>
  <si>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</si>
  <si>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</si>
  <si>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</si>
  <si>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</si>
  <si>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</si>
  <si>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</si>
  <si>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</si>
  <si>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</si>
  <si>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</si>
  <si>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</si>
  <si>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</si>
  <si>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</si>
  <si>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</si>
  <si>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</si>
  <si>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</si>
  <si>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</si>
  <si>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</si>
  <si>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</si>
  <si>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</si>
  <si>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</si>
  <si>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</si>
  <si>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</si>
  <si>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</si>
  <si>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</si>
  <si>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</si>
  <si>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</si>
  <si>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</si>
  <si>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</si>
  <si>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</si>
  <si>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</si>
  <si>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</si>
  <si>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</si>
  <si>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</si>
  <si>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</si>
  <si>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</si>
  <si>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</si>
  <si>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</si>
  <si>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</si>
  <si>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</si>
  <si>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</si>
  <si>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</si>
  <si>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</si>
  <si>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</si>
  <si>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</si>
  <si>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</si>
  <si>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</si>
  <si>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</si>
  <si>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</si>
  <si>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</si>
  <si>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</si>
  <si>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</si>
  <si>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</si>
  <si>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</si>
  <si>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</si>
  <si>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</si>
  <si>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</si>
  <si>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</si>
  <si>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</si>
  <si>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</si>
  <si>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</si>
  <si>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</si>
  <si>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</si>
  <si>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</si>
  <si>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</si>
  <si>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</si>
  <si>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</si>
  <si>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</si>
  <si>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</si>
  <si>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</si>
  <si>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</si>
  <si>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</si>
  <si>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</si>
  <si>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</si>
  <si>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</si>
  <si>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</si>
  <si>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</si>
  <si>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</si>
  <si>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</si>
  <si>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</si>
  <si>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</si>
  <si>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</si>
  <si>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</si>
  <si>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</si>
  <si>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</si>
  <si>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</si>
  <si>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</si>
  <si>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</si>
  <si>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</si>
  <si>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</si>
  <si>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</si>
  <si>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</si>
  <si>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</si>
  <si>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</si>
  <si>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</si>
  <si>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</si>
  <si>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</si>
  <si>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</si>
  <si>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</si>
  <si>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</si>
  <si>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</si>
  <si>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</si>
  <si>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</si>
  <si>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</si>
  <si>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</si>
  <si>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</si>
  <si>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</si>
  <si>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</si>
  <si>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</si>
  <si>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</si>
  <si>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</si>
  <si>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</si>
  <si>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</si>
  <si>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</si>
  <si>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</si>
  <si>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</si>
  <si>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</si>
  <si>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</si>
  <si>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</si>
  <si>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</si>
  <si>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</si>
  <si>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</si>
  <si>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</si>
  <si>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</si>
  <si>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</si>
  <si>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</si>
  <si>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</si>
  <si>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</si>
  <si>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</si>
  <si>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</si>
  <si>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</si>
  <si>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</si>
  <si>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</si>
  <si>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</si>
  <si>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</si>
  <si>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</si>
  <si>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</si>
  <si>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</si>
  <si>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</si>
  <si>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</si>
  <si>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</si>
  <si>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</si>
  <si>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</si>
  <si>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</si>
  <si>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</si>
  <si>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</si>
  <si>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</si>
  <si>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</si>
  <si>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</si>
  <si>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</si>
  <si>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</si>
  <si>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</si>
  <si>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</si>
  <si>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</si>
  <si>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</si>
  <si>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</si>
  <si>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</si>
  <si>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</si>
  <si>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</si>
  <si>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</si>
  <si>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</si>
  <si>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</si>
  <si>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</si>
  <si>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</si>
  <si>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</si>
  <si>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</si>
  <si>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</si>
  <si>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</si>
  <si>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</si>
  <si>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</si>
  <si>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</si>
  <si>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</si>
  <si>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</si>
  <si>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</si>
  <si>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</si>
  <si>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</si>
  <si>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</si>
  <si>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</si>
  <si>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</si>
  <si>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</si>
  <si>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</si>
  <si>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</si>
  <si>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</si>
  <si>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</si>
  <si>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</si>
  <si>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</si>
  <si>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</si>
  <si>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</si>
  <si>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</si>
  <si>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</si>
  <si>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</si>
  <si>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</si>
  <si>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</si>
  <si>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</si>
  <si>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</si>
  <si>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</si>
  <si>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</si>
  <si>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</si>
  <si>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</si>
  <si>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</si>
  <si>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</si>
  <si>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</si>
  <si>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</si>
  <si>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</si>
  <si>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</si>
  <si>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</si>
  <si>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</si>
  <si>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</si>
  <si>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</si>
  <si>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</si>
  <si>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</si>
  <si>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</si>
  <si>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</si>
  <si>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</si>
  <si>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</si>
  <si>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</si>
  <si>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</si>
  <si>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</si>
  <si>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</si>
  <si>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</si>
  <si>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</si>
  <si>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</si>
  <si>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</si>
  <si>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</si>
  <si>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</si>
  <si>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</si>
  <si>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</si>
  <si>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</si>
  <si>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</si>
  <si>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</si>
  <si>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</si>
  <si>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</si>
  <si>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</si>
  <si>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</si>
  <si>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</si>
  <si>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</si>
  <si>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</si>
  <si>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</si>
  <si>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</si>
  <si>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</si>
  <si>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</si>
  <si>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</si>
  <si>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</si>
  <si>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</si>
  <si>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</si>
  <si>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</si>
  <si>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</si>
  <si>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</si>
  <si>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</si>
  <si>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</si>
  <si>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</si>
  <si>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</si>
  <si>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</si>
  <si>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</si>
  <si>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</si>
  <si>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</si>
  <si>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</si>
  <si>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</si>
  <si>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</si>
  <si>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</si>
  <si>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</si>
  <si>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</si>
  <si>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</si>
  <si>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</si>
  <si>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</si>
  <si>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</si>
  <si>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</si>
  <si>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</si>
  <si>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</si>
  <si>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</si>
  <si>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</si>
  <si>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</si>
  <si>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</si>
  <si>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</si>
  <si>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</si>
  <si>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</si>
  <si>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</si>
  <si>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</si>
  <si>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</si>
  <si>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</si>
  <si>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</si>
  <si>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</si>
  <si>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</si>
  <si>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</si>
  <si>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</si>
  <si>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</si>
  <si>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</si>
  <si>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</si>
  <si>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</si>
  <si>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</si>
  <si>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</si>
  <si>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</si>
  <si>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</si>
  <si>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</si>
  <si>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</si>
  <si>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</si>
  <si>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</si>
  <si>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</si>
  <si>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</si>
  <si>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</si>
  <si>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</si>
  <si>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</si>
  <si>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</si>
  <si>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</si>
  <si>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</si>
  <si>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</si>
  <si>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</si>
  <si>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</si>
  <si>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</si>
  <si>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</si>
  <si>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</si>
  <si>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</si>
  <si>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</si>
  <si>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</si>
  <si>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</si>
  <si>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</si>
  <si>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</si>
  <si>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</si>
  <si>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</si>
  <si>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</si>
  <si>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</si>
  <si>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</si>
  <si>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</si>
  <si>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</si>
  <si>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</si>
  <si>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</si>
  <si>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</si>
  <si>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</si>
  <si>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</si>
  <si>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</si>
  <si>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</si>
  <si>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</si>
  <si>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</si>
  <si>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</si>
  <si>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</si>
  <si>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</si>
  <si>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</si>
  <si>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</si>
  <si>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</si>
  <si>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</si>
  <si>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</si>
  <si>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</si>
  <si>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</si>
  <si>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</si>
  <si>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</si>
  <si>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</si>
  <si>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</si>
  <si>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</si>
  <si>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</si>
  <si>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</si>
  <si>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</si>
  <si>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</si>
  <si>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</si>
  <si>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</si>
  <si>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</si>
  <si>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</si>
  <si>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</si>
  <si>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</si>
  <si>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</si>
  <si>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</si>
  <si>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</si>
  <si>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</si>
  <si>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</si>
  <si>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</si>
  <si>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</si>
  <si>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</si>
  <si>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</si>
  <si>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</si>
  <si>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</si>
  <si>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</si>
  <si>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</si>
  <si>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</si>
  <si>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</si>
  <si>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</si>
  <si>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</si>
  <si>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</si>
  <si>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</si>
  <si>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</si>
  <si>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</si>
  <si>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</si>
  <si>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</si>
  <si>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</si>
  <si>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</si>
  <si>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</si>
  <si>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</si>
  <si>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</si>
  <si>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</si>
  <si>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</si>
  <si>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</si>
  <si>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</si>
  <si>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</si>
  <si>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</si>
  <si>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</si>
  <si>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</si>
  <si>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</si>
  <si>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</si>
  <si>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</si>
  <si>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</si>
  <si>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</si>
  <si>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</si>
  <si>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</si>
  <si>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</si>
  <si>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</si>
  <si>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</si>
  <si>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</si>
  <si>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</si>
  <si>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</si>
  <si>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</si>
  <si>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</si>
  <si>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</si>
  <si>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</si>
  <si>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</si>
  <si>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</si>
  <si>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</si>
  <si>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</si>
  <si>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</si>
  <si>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</si>
  <si>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</si>
  <si>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</si>
  <si>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</si>
  <si>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</si>
  <si>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</si>
  <si>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</si>
  <si>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</si>
  <si>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</si>
  <si>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</si>
  <si>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</si>
  <si>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</si>
  <si>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</si>
  <si>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</si>
  <si>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</si>
  <si>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</si>
  <si>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</si>
  <si>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</si>
  <si>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</si>
  <si>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</si>
  <si>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</si>
  <si>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</si>
  <si>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</si>
  <si>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</si>
  <si>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</si>
  <si>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</si>
  <si>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</si>
  <si>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</si>
  <si>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</si>
  <si>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</si>
  <si>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</si>
  <si>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</si>
  <si>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</si>
  <si>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</si>
  <si>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</si>
  <si>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</si>
  <si>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</si>
  <si>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</si>
  <si>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</si>
  <si>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</si>
  <si>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</si>
  <si>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</si>
  <si>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</si>
  <si>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</si>
  <si>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</si>
  <si>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</si>
  <si>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</si>
  <si>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</si>
  <si>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</si>
  <si>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</si>
  <si>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</si>
  <si>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</si>
  <si>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</si>
  <si>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</si>
  <si>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</si>
  <si>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</si>
  <si>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</si>
  <si>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</si>
  <si>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</si>
  <si>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</si>
  <si>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</si>
  <si>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</si>
  <si>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</si>
  <si>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</si>
  <si>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</si>
  <si>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</si>
  <si>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</si>
  <si>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</si>
  <si>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</si>
  <si>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</si>
  <si>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</si>
  <si>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</si>
  <si>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</si>
  <si>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</si>
  <si>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</si>
  <si>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</si>
  <si>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</si>
  <si>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</si>
  <si>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</si>
  <si>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</si>
  <si>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</si>
  <si>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</si>
  <si>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</si>
  <si>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</si>
  <si>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</si>
  <si>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</si>
  <si>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</si>
  <si>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</si>
  <si>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</si>
  <si>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</si>
  <si>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</si>
  <si>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</si>
  <si>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</si>
  <si>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</si>
  <si>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</si>
  <si>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</si>
  <si>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</si>
  <si>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</si>
  <si>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</si>
  <si>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</si>
  <si>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</si>
  <si>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</si>
  <si>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</si>
  <si>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</si>
  <si>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</si>
  <si>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</si>
  <si>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</si>
  <si>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</si>
  <si>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</si>
  <si>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</si>
  <si>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</si>
  <si>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</si>
  <si>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</si>
  <si>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</si>
  <si>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</si>
  <si>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</si>
  <si>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</si>
  <si>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</si>
  <si>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</si>
  <si>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</si>
  <si>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</si>
  <si>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</si>
  <si>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</si>
  <si>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</si>
  <si>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</si>
  <si>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</si>
  <si>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</si>
  <si>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</si>
  <si>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</si>
  <si>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</si>
  <si>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</si>
  <si>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</si>
  <si>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</si>
  <si>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</si>
  <si>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</si>
  <si>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</si>
  <si>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</si>
  <si>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</si>
  <si>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</si>
  <si>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</si>
  <si>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</si>
  <si>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</si>
  <si>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</si>
  <si>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</si>
  <si>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</si>
  <si>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</si>
  <si>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</si>
  <si>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</si>
  <si>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</si>
  <si>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</si>
  <si>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</si>
  <si>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</si>
  <si>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</si>
  <si>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</si>
  <si>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</si>
  <si>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</si>
  <si>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</si>
  <si>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</si>
  <si>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</si>
  <si>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</si>
  <si>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</si>
  <si>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</si>
  <si>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</si>
  <si>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</si>
  <si>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</si>
  <si>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</si>
  <si>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</si>
  <si>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</si>
  <si>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</si>
  <si>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</si>
  <si>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</si>
  <si>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</si>
  <si>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</si>
  <si>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</si>
  <si>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</si>
  <si>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</si>
  <si>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</si>
  <si>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</si>
  <si>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</si>
  <si>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</si>
  <si>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</si>
  <si>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</si>
  <si>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</si>
  <si>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</si>
  <si>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</si>
  <si>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</si>
  <si>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</si>
  <si>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</si>
  <si>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</si>
  <si>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</si>
  <si>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</si>
  <si>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</si>
  <si>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</si>
  <si>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</si>
  <si>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</si>
  <si>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</si>
  <si>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</si>
  <si>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</si>
  <si>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</si>
  <si>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</si>
  <si>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</si>
  <si>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</si>
  <si>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</si>
  <si>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</si>
  <si>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</si>
  <si>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</si>
  <si>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</si>
  <si>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</si>
  <si>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</si>
  <si>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</si>
  <si>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</si>
  <si>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</si>
  <si>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</si>
  <si>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</si>
  <si>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</si>
  <si>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</si>
  <si>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</si>
  <si>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</si>
  <si>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</si>
  <si>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</si>
  <si>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</si>
  <si>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</si>
  <si>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</si>
  <si>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</si>
  <si>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</si>
  <si>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</si>
  <si>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</si>
  <si>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</si>
  <si>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</si>
  <si>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</si>
  <si>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</si>
  <si>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</si>
  <si>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</si>
  <si>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</si>
  <si>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</si>
  <si>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</si>
  <si>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</si>
  <si>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</si>
  <si>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</si>
  <si>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</si>
  <si>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</si>
  <si>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</si>
  <si>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</si>
  <si>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</si>
  <si>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</si>
  <si>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</si>
  <si>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</si>
  <si>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</si>
  <si>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</si>
  <si>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</si>
  <si>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</si>
  <si>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</si>
  <si>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</si>
  <si>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</si>
  <si>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</si>
  <si>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</si>
  <si>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</si>
  <si>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</si>
  <si>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</si>
  <si>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</si>
  <si>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</si>
  <si>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</si>
  <si>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</si>
  <si>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</si>
  <si>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</si>
  <si>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</si>
  <si>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</si>
  <si>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</si>
  <si>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</si>
  <si>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</si>
  <si>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</si>
  <si>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</si>
  <si>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</si>
  <si>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</si>
  <si>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</si>
  <si>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</si>
  <si>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</si>
  <si>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</si>
  <si>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</si>
  <si>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</si>
  <si>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</si>
  <si>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</si>
  <si>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</si>
  <si>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</si>
  <si>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</si>
  <si>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</si>
  <si>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</si>
  <si>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</si>
  <si>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</si>
  <si>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</si>
  <si>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</si>
  <si>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</si>
  <si>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</si>
  <si>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</si>
  <si>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</si>
  <si>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</si>
  <si>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</si>
  <si>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</si>
  <si>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</si>
  <si>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</si>
  <si>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</si>
  <si>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</si>
  <si>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</si>
  <si>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</si>
  <si>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</si>
  <si>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</si>
  <si>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</si>
  <si>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</si>
  <si>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</si>
  <si>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</si>
  <si>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</si>
  <si>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</si>
  <si>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</si>
  <si>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</si>
  <si>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</si>
  <si>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</si>
  <si>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</si>
  <si>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</si>
  <si>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</si>
  <si>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</si>
  <si>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</si>
  <si>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</si>
  <si>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</si>
  <si>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</si>
  <si>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</si>
  <si>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</si>
  <si>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</si>
  <si>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</si>
  <si>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</si>
  <si>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</si>
  <si>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</si>
  <si>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</si>
  <si>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</si>
  <si>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</si>
  <si>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</si>
  <si>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</si>
  <si>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</si>
  <si>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</si>
  <si>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</si>
  <si>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</si>
  <si>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</si>
  <si>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</si>
  <si>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</si>
  <si>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</si>
  <si>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</si>
  <si>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</si>
  <si>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</si>
  <si>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</si>
  <si>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</si>
  <si>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</si>
  <si>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</si>
  <si>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</si>
  <si>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</si>
  <si>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</si>
  <si>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</si>
  <si>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</si>
  <si>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</si>
  <si>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</si>
  <si>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</si>
  <si>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</si>
  <si>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</si>
  <si>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</si>
  <si>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</si>
  <si>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</si>
  <si>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</si>
  <si>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</si>
  <si>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</si>
  <si>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</si>
  <si>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</si>
  <si>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</si>
  <si>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</si>
  <si>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</si>
  <si>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</si>
  <si>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</si>
  <si>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</si>
  <si>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</si>
  <si>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</si>
  <si>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</si>
  <si>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</si>
  <si>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</si>
  <si>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</si>
  <si>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</si>
  <si>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</si>
  <si>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</si>
  <si>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</si>
  <si>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</si>
  <si>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</si>
  <si>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</si>
  <si>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</si>
  <si>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</si>
  <si>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</si>
  <si>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</si>
  <si>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</si>
  <si>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</si>
  <si>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</si>
  <si>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</si>
  <si>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</si>
  <si>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</si>
  <si>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</si>
  <si>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</si>
  <si>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</si>
  <si>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</si>
  <si>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</si>
  <si>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</si>
  <si>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</si>
  <si>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</si>
  <si>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</si>
  <si>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</si>
  <si>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</si>
  <si>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</si>
  <si>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</si>
  <si>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</si>
  <si>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</si>
  <si>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</si>
  <si>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</si>
  <si>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</si>
  <si>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</si>
  <si>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</si>
  <si>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</si>
  <si>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</si>
  <si>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</si>
  <si>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</si>
  <si>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</si>
  <si>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</si>
  <si>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</si>
  <si>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</si>
  <si>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</si>
  <si>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</si>
  <si>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</si>
  <si>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</si>
  <si>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</si>
  <si>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</si>
  <si>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</si>
  <si>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</si>
  <si>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</si>
  <si>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</si>
  <si>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</si>
  <si>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</si>
  <si>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</si>
  <si>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</si>
  <si>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</si>
  <si>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</si>
  <si>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</si>
  <si>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</si>
  <si>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</si>
  <si>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</si>
  <si>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</si>
  <si>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</si>
  <si>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</si>
  <si>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</si>
  <si>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</si>
  <si>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</si>
  <si>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</si>
  <si>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</si>
  <si>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</si>
  <si>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</si>
  <si>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</si>
  <si>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</si>
  <si>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</si>
  <si>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</si>
  <si>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</si>
  <si>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</si>
  <si>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</si>
  <si>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</si>
  <si>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</si>
  <si>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</si>
  <si>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</si>
  <si>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</si>
  <si>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</si>
  <si>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</si>
  <si>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</si>
  <si>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</si>
  <si>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</si>
  <si>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</si>
  <si>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</si>
  <si>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</si>
  <si>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</si>
  <si>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</si>
  <si>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</si>
  <si>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</si>
  <si>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</si>
  <si>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</si>
  <si>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</si>
  <si>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</si>
  <si>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</si>
  <si>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</si>
  <si>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</si>
  <si>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</si>
  <si>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</si>
  <si>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</si>
  <si>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</si>
  <si>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</si>
  <si>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</si>
  <si>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</si>
  <si>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</si>
  <si>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</si>
  <si>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</si>
  <si>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</si>
  <si>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</si>
  <si>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</si>
  <si>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</si>
  <si>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</si>
  <si>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</si>
  <si>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</si>
  <si>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</si>
  <si>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</si>
  <si>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</si>
  <si>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</si>
  <si>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</si>
  <si>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</si>
  <si>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</si>
  <si>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</si>
  <si>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</si>
  <si>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</si>
  <si>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</si>
  <si>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</si>
  <si>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</si>
  <si>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</si>
  <si>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</si>
  <si>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</si>
  <si>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</si>
  <si>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</si>
  <si>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</si>
  <si>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</si>
  <si>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</si>
  <si>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</si>
  <si>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</si>
  <si>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</si>
  <si>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</si>
  <si>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</si>
  <si>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</si>
  <si>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</si>
  <si>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</si>
  <si>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</si>
  <si>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</si>
  <si>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</si>
  <si>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</si>
  <si>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</si>
  <si>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</si>
  <si>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</si>
  <si>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</si>
  <si>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</si>
  <si>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</si>
  <si>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</si>
  <si>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</si>
  <si>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</si>
  <si>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</si>
  <si>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</si>
  <si>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</si>
  <si>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</si>
  <si>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</si>
  <si>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</si>
  <si>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</si>
  <si>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</si>
  <si>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</si>
  <si>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</si>
  <si>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</si>
  <si>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</si>
  <si>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</si>
  <si>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</si>
  <si>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</si>
  <si>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</si>
  <si>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</si>
  <si>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</si>
  <si>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</si>
  <si>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</si>
  <si>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</si>
  <si>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</si>
  <si>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</si>
  <si>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</si>
  <si>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</si>
  <si>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</si>
  <si>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</si>
  <si>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</si>
  <si>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</si>
  <si>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</si>
  <si>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</si>
  <si>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</si>
  <si>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</si>
  <si>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</si>
  <si>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</si>
  <si>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</si>
  <si>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</si>
  <si>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</si>
  <si>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</si>
  <si>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</si>
  <si>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</si>
  <si>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</si>
  <si>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</si>
  <si>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</si>
  <si>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</si>
  <si>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</si>
  <si>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</si>
  <si>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</si>
  <si>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</si>
  <si>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</si>
  <si>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</si>
  <si>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</si>
  <si>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</si>
  <si>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</si>
  <si>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</si>
  <si>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</si>
  <si>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</si>
  <si>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</si>
  <si>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</si>
  <si>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</si>
  <si>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</si>
  <si>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</si>
  <si>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</si>
  <si>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</si>
  <si>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</si>
  <si>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</si>
  <si>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</si>
  <si>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</si>
  <si>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</si>
  <si>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</si>
  <si>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</si>
  <si>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</si>
  <si>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</si>
  <si>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</si>
  <si>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</si>
  <si>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</si>
  <si>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</si>
  <si>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</si>
  <si>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</si>
  <si>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</si>
  <si>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</si>
  <si>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</si>
  <si>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</si>
  <si>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</si>
  <si>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</si>
  <si>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</si>
  <si>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</si>
  <si>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</si>
  <si>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</si>
  <si>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</si>
  <si>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</si>
  <si>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</si>
  <si>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</si>
  <si>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</si>
  <si>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</si>
  <si>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</si>
  <si>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</si>
  <si>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</si>
  <si>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</si>
  <si>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</si>
  <si>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</si>
  <si>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</si>
  <si>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</si>
  <si>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</si>
  <si>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</si>
  <si>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</si>
  <si>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</si>
  <si>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</si>
  <si>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</si>
  <si>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</si>
  <si>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</si>
  <si>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</si>
  <si>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</si>
  <si>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</si>
  <si>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</si>
  <si>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</si>
  <si>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</si>
  <si>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</si>
  <si>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</si>
  <si>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</si>
  <si>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</si>
  <si>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</si>
  <si>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</si>
  <si>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</si>
  <si>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</si>
  <si>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</si>
  <si>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</si>
  <si>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</si>
  <si>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</si>
  <si>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</si>
  <si>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</si>
  <si>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</si>
  <si>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</si>
  <si>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</si>
  <si>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</si>
  <si>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</si>
  <si>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</si>
  <si>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</si>
  <si>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</si>
  <si>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</si>
  <si>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</si>
  <si>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</si>
  <si>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</si>
  <si>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</si>
  <si>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</si>
  <si>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</si>
  <si>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</si>
  <si>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</si>
  <si>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</si>
  <si>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</si>
  <si>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</si>
  <si>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</si>
  <si>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</si>
  <si>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</si>
  <si>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</si>
  <si>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</si>
  <si>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</si>
  <si>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</si>
  <si>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</si>
  <si>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</si>
  <si>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</si>
  <si>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</si>
  <si>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</si>
  <si>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</si>
  <si>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</si>
  <si>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</si>
  <si>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</si>
  <si>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</si>
  <si>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</si>
  <si>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</si>
  <si>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</si>
  <si>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</si>
  <si>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</si>
  <si>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</si>
  <si>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</si>
  <si>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</si>
  <si>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</si>
  <si>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</si>
  <si>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</si>
  <si>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</si>
  <si>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</si>
  <si>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</si>
  <si>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</si>
  <si>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</si>
  <si>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</si>
  <si>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</si>
  <si>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</si>
  <si>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</si>
  <si>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</si>
  <si>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</si>
  <si>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</si>
  <si>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</si>
  <si>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</si>
  <si>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</si>
  <si>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</si>
  <si>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</si>
  <si>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</si>
  <si>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</si>
  <si>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</si>
  <si>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</si>
  <si>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</si>
  <si>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</si>
  <si>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</si>
  <si>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</si>
  <si>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</si>
  <si>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</si>
  <si>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</si>
  <si>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</si>
  <si>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</si>
  <si>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</si>
  <si>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</si>
  <si>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</si>
  <si>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</si>
  <si>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</si>
  <si>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</si>
  <si>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</si>
  <si>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</si>
  <si>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</si>
  <si>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</si>
  <si>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</si>
  <si>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</si>
  <si>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</si>
  <si>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</si>
  <si>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</si>
  <si>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</si>
  <si>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</si>
  <si>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</si>
  <si>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</si>
  <si>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</si>
  <si>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</si>
  <si>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</si>
  <si>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</si>
  <si>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</si>
  <si>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</si>
  <si>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</si>
  <si>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</si>
  <si>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</si>
  <si>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</si>
  <si>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</si>
  <si>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</si>
  <si>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</si>
  <si>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</si>
  <si>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</si>
  <si>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</si>
  <si>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</si>
  <si>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</si>
  <si>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</si>
  <si>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</si>
  <si>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</si>
  <si>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</si>
  <si>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</si>
  <si>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</si>
  <si>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</si>
  <si>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</si>
  <si>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</si>
  <si>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</si>
  <si>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</si>
  <si>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</si>
  <si>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</si>
  <si>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</si>
  <si>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</si>
  <si>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</si>
  <si>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</si>
  <si>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</si>
  <si>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</si>
  <si>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</si>
  <si>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</si>
  <si>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</si>
  <si>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</si>
  <si>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</si>
  <si>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</si>
  <si>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</si>
  <si>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</si>
  <si>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</si>
  <si>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</si>
  <si>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</si>
  <si>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</si>
  <si>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</si>
  <si>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</si>
  <si>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</si>
  <si>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</si>
  <si>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</si>
  <si>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</si>
  <si>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</si>
  <si>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</si>
  <si>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</si>
  <si>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</si>
  <si>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</si>
  <si>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</si>
  <si>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</si>
  <si>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</si>
  <si>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</si>
  <si>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</si>
  <si>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</si>
  <si>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</si>
  <si>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</si>
  <si>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</si>
  <si>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</si>
  <si>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</si>
  <si>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</si>
  <si>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</si>
  <si>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</si>
  <si>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</si>
  <si>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</si>
  <si>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</si>
  <si>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</si>
  <si>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</si>
  <si>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</si>
  <si>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</si>
  <si>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</si>
  <si>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</si>
  <si>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</si>
  <si>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</si>
  <si>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</si>
  <si>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</si>
  <si>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</si>
  <si>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</si>
  <si>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</si>
  <si>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</si>
  <si>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</si>
  <si>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</si>
  <si>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</si>
  <si>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</si>
  <si>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</si>
  <si>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</si>
  <si>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</si>
  <si>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</si>
  <si>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</si>
  <si>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</si>
  <si>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</si>
  <si>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</si>
  <si>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</si>
  <si>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</si>
  <si>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</si>
  <si>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</si>
  <si>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</si>
  <si>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</si>
  <si>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</si>
  <si>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</si>
  <si>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</si>
  <si>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</si>
  <si>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</si>
  <si>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</si>
  <si>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</si>
  <si>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</si>
  <si>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</si>
  <si>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</si>
  <si>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</si>
  <si>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</si>
  <si>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</si>
  <si>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</si>
  <si>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</si>
  <si>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</si>
  <si>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</si>
  <si>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</si>
  <si>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</si>
  <si>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</si>
  <si>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</si>
  <si>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</si>
  <si>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</si>
  <si>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</si>
  <si>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</si>
  <si>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</si>
  <si>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</si>
  <si>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</si>
  <si>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</si>
  <si>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</si>
  <si>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</si>
  <si>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</si>
  <si>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</si>
  <si>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</si>
  <si>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</si>
  <si>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</si>
  <si>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</si>
  <si>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</si>
  <si>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</si>
  <si>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</si>
  <si>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</si>
  <si>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</si>
  <si>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</si>
  <si>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</si>
  <si>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</si>
  <si>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</si>
  <si>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</si>
  <si>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</si>
  <si>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</si>
  <si>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</si>
  <si>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</si>
  <si>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</si>
  <si>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</si>
  <si>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</si>
  <si>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</si>
  <si>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</si>
  <si>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</si>
  <si>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</si>
  <si>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</si>
  <si>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</si>
  <si>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</si>
  <si>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</si>
  <si>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</si>
  <si>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</si>
  <si>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</si>
  <si>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</si>
  <si>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</si>
  <si>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</si>
  <si>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</si>
  <si>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</si>
  <si>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</si>
  <si>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</si>
  <si>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</si>
  <si>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</si>
  <si>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</si>
  <si>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</si>
  <si>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</si>
  <si>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</si>
  <si>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</si>
  <si>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</si>
  <si>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</si>
  <si>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</si>
  <si>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</si>
  <si>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</si>
  <si>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</si>
  <si>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</si>
  <si>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</si>
  <si>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</si>
  <si>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</si>
  <si>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</si>
  <si>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</si>
  <si>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</si>
  <si>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</si>
  <si>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</si>
  <si>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</si>
  <si>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</si>
  <si>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</si>
  <si>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</si>
  <si>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</si>
  <si>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</si>
  <si>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</si>
  <si>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</si>
  <si>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</si>
  <si>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</si>
  <si>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</si>
  <si>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</si>
  <si>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</si>
  <si>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</si>
  <si>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</si>
  <si>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</si>
  <si>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</si>
  <si>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</si>
  <si>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</si>
  <si>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</si>
  <si>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</si>
  <si>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</si>
  <si>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</si>
  <si>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</si>
  <si>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</si>
  <si>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</si>
  <si>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</si>
  <si>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</si>
  <si>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</si>
  <si>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</si>
  <si>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</si>
  <si>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</si>
  <si>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</si>
  <si>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</si>
  <si>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</si>
  <si>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</si>
  <si>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</si>
  <si>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</si>
  <si>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</si>
  <si>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</si>
  <si>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</si>
  <si>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</si>
  <si>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</si>
  <si>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</si>
  <si>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</si>
  <si>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</si>
  <si>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</si>
  <si>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</si>
  <si>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</si>
  <si>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</si>
  <si>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</si>
  <si>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</si>
  <si>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</si>
  <si>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</si>
  <si>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</si>
  <si>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</si>
  <si>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</si>
  <si>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</si>
  <si>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</si>
  <si>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</si>
  <si>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</si>
  <si>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</si>
  <si>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</si>
  <si>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</si>
  <si>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</si>
  <si>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</si>
  <si>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</si>
  <si>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</si>
  <si>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</si>
  <si>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</si>
  <si>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</si>
  <si>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</si>
  <si>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</si>
  <si>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</si>
  <si>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</si>
  <si>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</si>
  <si>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</si>
  <si>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</si>
  <si>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</si>
  <si>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</si>
  <si>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</si>
  <si>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</si>
  <si>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</si>
  <si>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</si>
  <si>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</si>
  <si>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</si>
  <si>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</si>
  <si>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</si>
  <si>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</si>
  <si>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</si>
  <si>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</si>
  <si>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</si>
  <si>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</si>
  <si>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</si>
  <si>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</si>
  <si>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</si>
  <si>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</si>
  <si>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</si>
  <si>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</si>
  <si>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</si>
  <si>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</si>
  <si>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</si>
  <si>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</si>
  <si>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</si>
  <si>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</si>
  <si>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</si>
  <si>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</si>
  <si>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</si>
  <si>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</si>
  <si>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</si>
  <si>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</si>
  <si>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</si>
  <si>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</si>
  <si>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</si>
  <si>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</si>
  <si>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</si>
  <si>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</si>
  <si>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</si>
  <si>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</si>
  <si>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</si>
  <si>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</si>
  <si>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</si>
  <si>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</si>
  <si>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</si>
  <si>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</si>
  <si>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</si>
  <si>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</si>
  <si>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</si>
  <si>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</si>
  <si>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</si>
  <si>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</si>
  <si>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</si>
  <si>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</si>
  <si>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</si>
  <si>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</si>
  <si>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</si>
  <si>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</si>
  <si>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</si>
  <si>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</si>
  <si>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</si>
  <si>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</si>
  <si>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</si>
  <si>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</si>
  <si>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</si>
  <si>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</si>
  <si>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</si>
  <si>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</si>
  <si>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</si>
  <si>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</si>
  <si>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</si>
  <si>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</si>
  <si>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</si>
  <si>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</si>
  <si>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</si>
  <si>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</si>
  <si>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</si>
  <si>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</si>
  <si>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</si>
  <si>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</si>
  <si>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</si>
  <si>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</si>
  <si>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</si>
  <si>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</si>
  <si>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</si>
  <si>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</si>
  <si>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</si>
  <si>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</si>
  <si>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</si>
  <si>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</si>
  <si>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</si>
  <si>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</si>
  <si>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</si>
  <si>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</si>
  <si>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</si>
  <si>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</si>
  <si>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</si>
  <si>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</si>
  <si>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</si>
  <si>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</si>
  <si>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</si>
  <si>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</si>
  <si>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</si>
  <si>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</si>
  <si>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</si>
  <si>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</si>
  <si>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</si>
  <si>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</si>
  <si>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</si>
  <si>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</si>
  <si>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</si>
  <si>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</si>
  <si>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</si>
  <si>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</si>
  <si>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</si>
  <si>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</si>
  <si>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</si>
  <si>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</si>
  <si>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</si>
  <si>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</si>
  <si>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</si>
  <si>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</si>
  <si>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</si>
  <si>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</si>
  <si>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</si>
  <si>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</si>
  <si>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</si>
  <si>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</si>
  <si>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</si>
  <si>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</si>
  <si>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</si>
  <si>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</si>
  <si>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</si>
  <si>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</si>
  <si>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</si>
  <si>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</si>
  <si>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</si>
  <si>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</si>
  <si>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</si>
  <si>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</si>
  <si>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</si>
  <si>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</si>
  <si>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</si>
  <si>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</si>
  <si>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</si>
  <si>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</si>
  <si>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</si>
  <si>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</si>
  <si>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</si>
  <si>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</si>
  <si>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</si>
  <si>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</si>
  <si>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</si>
  <si>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</si>
  <si>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</si>
  <si>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</si>
  <si>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</si>
  <si>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</si>
  <si>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</si>
  <si>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</si>
  <si>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</si>
  <si>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</si>
  <si>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</si>
  <si>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</si>
  <si>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</si>
  <si>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</si>
  <si>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</si>
  <si>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</si>
  <si>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</si>
  <si>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</si>
  <si>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</si>
  <si>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</si>
  <si>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</si>
  <si>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</si>
  <si>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</si>
  <si>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</si>
  <si>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</si>
  <si>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</si>
  <si>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</si>
  <si>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</si>
  <si>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</si>
  <si>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</si>
  <si>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</si>
  <si>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</si>
  <si>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</si>
  <si>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</si>
  <si>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</si>
  <si>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</si>
  <si>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</si>
  <si>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</si>
  <si>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</si>
  <si>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</si>
  <si>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</si>
  <si>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</si>
  <si>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</si>
  <si>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</si>
  <si>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</si>
  <si>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</si>
  <si>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</si>
  <si>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</si>
  <si>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</si>
  <si>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</si>
  <si>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</si>
  <si>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</si>
  <si>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</si>
  <si>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</si>
  <si>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</si>
  <si>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</si>
  <si>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</si>
  <si>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</si>
  <si>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</si>
  <si>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</si>
  <si>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</si>
  <si>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</si>
  <si>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</si>
  <si>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</si>
  <si>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</si>
  <si>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</si>
  <si>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</si>
  <si>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</si>
  <si>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</si>
  <si>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</si>
  <si>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</si>
  <si>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</si>
  <si>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</si>
  <si>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</si>
  <si>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</si>
  <si>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</si>
  <si>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</si>
  <si>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</si>
  <si>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</si>
  <si>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</si>
  <si>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</si>
  <si>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</si>
  <si>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</si>
  <si>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</si>
  <si>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</si>
  <si>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</si>
  <si>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</si>
  <si>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</si>
  <si>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</si>
  <si>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</si>
  <si>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</si>
  <si>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</si>
  <si>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</si>
  <si>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</si>
  <si>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</si>
  <si>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</si>
  <si>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</si>
  <si>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</si>
  <si>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</si>
  <si>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</si>
  <si>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</si>
  <si>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</si>
  <si>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</si>
  <si>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</si>
  <si>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</si>
  <si>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</si>
  <si>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</si>
  <si>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</si>
  <si>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</si>
  <si>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</si>
  <si>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</si>
  <si>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</si>
  <si>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</si>
  <si>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</si>
  <si>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</si>
  <si>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</si>
  <si>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</si>
  <si>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</si>
  <si>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</si>
  <si>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</si>
  <si>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</si>
  <si>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</si>
  <si>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</si>
  <si>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</si>
  <si>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</si>
  <si>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</si>
  <si>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</si>
  <si>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</si>
  <si>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</si>
  <si>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</si>
  <si>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</si>
  <si>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</si>
  <si>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</si>
  <si>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</si>
  <si>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</si>
  <si>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</si>
  <si>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</si>
  <si>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</si>
  <si>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</si>
  <si>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</si>
  <si>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</si>
  <si>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</si>
  <si>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</si>
  <si>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</si>
  <si>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</si>
  <si>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</si>
  <si>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</si>
  <si>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</si>
  <si>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</si>
  <si>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</si>
  <si>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</si>
  <si>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</si>
  <si>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</si>
  <si>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</si>
  <si>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</si>
  <si>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</si>
  <si>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</si>
  <si>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</si>
  <si>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</si>
  <si>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</si>
  <si>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</si>
  <si>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</si>
  <si>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</si>
  <si>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</si>
  <si>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</si>
  <si>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</si>
  <si>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</si>
  <si>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</si>
  <si>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</si>
  <si>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</si>
  <si>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</si>
  <si>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</si>
  <si>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</si>
  <si>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</si>
  <si>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</si>
  <si>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</si>
  <si>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</si>
  <si>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</si>
  <si>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</si>
  <si>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</si>
  <si>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</si>
  <si>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</si>
  <si>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</si>
  <si>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</si>
  <si>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</si>
  <si>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</si>
  <si>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</si>
  <si>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</si>
  <si>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</si>
  <si>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</si>
  <si>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</si>
  <si>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</si>
  <si>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</si>
  <si>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</si>
  <si>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</si>
  <si>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</si>
  <si>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</si>
  <si>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</si>
  <si>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</si>
  <si>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</si>
  <si>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</si>
  <si>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</si>
  <si>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</si>
  <si>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</si>
  <si>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</si>
  <si>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</si>
  <si>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</si>
  <si>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</si>
  <si>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</si>
  <si>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</si>
  <si>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</si>
  <si>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</si>
  <si>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</si>
  <si>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</si>
  <si>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</si>
  <si>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</si>
  <si>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</si>
  <si>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</si>
  <si>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</si>
  <si>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</si>
  <si>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</si>
  <si>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</si>
  <si>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</si>
  <si>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</si>
  <si>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</si>
  <si>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</si>
  <si>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</si>
  <si>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</si>
  <si>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</si>
  <si>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</si>
  <si>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</si>
  <si>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</si>
  <si>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</si>
  <si>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</si>
  <si>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</si>
  <si>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</si>
  <si>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</si>
  <si>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</si>
  <si>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</si>
  <si>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</si>
  <si>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</si>
  <si>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</si>
  <si>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</si>
  <si>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</si>
  <si>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</si>
  <si>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</si>
  <si>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</si>
  <si>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</si>
  <si>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</si>
  <si>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</si>
  <si>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</si>
  <si>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</si>
  <si>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</si>
  <si>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</si>
  <si>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</si>
  <si>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</si>
  <si>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</si>
  <si>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</si>
  <si>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</si>
  <si>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</si>
  <si>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</si>
  <si>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</si>
  <si>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</si>
  <si>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</si>
  <si>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</si>
  <si>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</si>
  <si>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</si>
  <si>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</si>
  <si>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</si>
  <si>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</si>
  <si>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</si>
  <si>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</si>
  <si>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</si>
  <si>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</si>
  <si>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</si>
  <si>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</si>
  <si>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</si>
  <si>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</si>
  <si>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</si>
  <si>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</si>
  <si>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</si>
  <si>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</si>
  <si>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</si>
  <si>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</si>
  <si>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</si>
  <si>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</si>
  <si>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</si>
  <si>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</si>
  <si>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</si>
  <si>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</si>
  <si>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</si>
  <si>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</si>
  <si>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</si>
  <si>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</si>
  <si>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</si>
  <si>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</si>
  <si>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</si>
  <si>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</si>
  <si>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</si>
  <si>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</si>
  <si>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</si>
  <si>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</si>
  <si>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</si>
  <si>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</si>
  <si>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</si>
  <si>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</si>
  <si>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</si>
  <si>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</si>
  <si>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</si>
  <si>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</si>
  <si>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</si>
  <si>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</si>
  <si>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</si>
  <si>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</si>
  <si>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</si>
  <si>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</si>
  <si>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</si>
  <si>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</si>
  <si>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</si>
  <si>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</si>
  <si>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</si>
  <si>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</si>
  <si>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</si>
  <si>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</si>
  <si>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</si>
  <si>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</si>
  <si>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</si>
  <si>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</si>
  <si>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</si>
  <si>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</si>
  <si>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</si>
  <si>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</si>
  <si>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</si>
  <si>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</si>
  <si>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</si>
  <si>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</si>
  <si>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</si>
  <si>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</si>
  <si>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</si>
  <si>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</si>
  <si>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</si>
  <si>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</si>
  <si>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</si>
  <si>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</si>
  <si>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</si>
  <si>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</si>
  <si>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</si>
  <si>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</si>
  <si>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</si>
  <si>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</si>
  <si>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</si>
  <si>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</si>
  <si>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</si>
  <si>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</si>
  <si>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</si>
  <si>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</si>
  <si>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</si>
  <si>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</si>
  <si>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</si>
  <si>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</si>
  <si>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</si>
  <si>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</si>
  <si>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</si>
  <si>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</si>
  <si>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</si>
  <si>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</si>
  <si>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</si>
  <si>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</si>
  <si>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</si>
  <si>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</si>
  <si>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</si>
  <si>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</si>
  <si>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</si>
  <si>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</si>
  <si>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</si>
  <si>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</si>
  <si>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</si>
  <si>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</si>
  <si>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</si>
  <si>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</si>
  <si>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</si>
  <si>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</si>
  <si>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</si>
  <si>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</si>
  <si>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</si>
  <si>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</si>
  <si>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</si>
  <si>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</si>
  <si>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</si>
  <si>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</si>
  <si>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</si>
  <si>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</si>
  <si>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</si>
  <si>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</si>
  <si>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</si>
  <si>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</si>
  <si>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</si>
  <si>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</si>
  <si>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</si>
  <si>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</si>
  <si>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</si>
  <si>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</si>
  <si>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</si>
  <si>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</si>
  <si>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</si>
  <si>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</si>
  <si>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</si>
  <si>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</si>
  <si>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</si>
  <si>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</si>
  <si>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</si>
  <si>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</si>
  <si>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</si>
  <si>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</si>
  <si>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</si>
  <si>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</si>
  <si>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</si>
  <si>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</si>
  <si>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</si>
  <si>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</si>
  <si>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</si>
  <si>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</si>
  <si>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</si>
  <si>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</si>
  <si>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</si>
  <si>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</si>
  <si>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</si>
  <si>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</si>
  <si>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</si>
  <si>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</si>
  <si>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</si>
  <si>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</si>
  <si>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</si>
  <si>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</si>
  <si>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</si>
  <si>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</si>
  <si>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</si>
  <si>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</si>
  <si>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</si>
  <si>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</si>
  <si>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</si>
  <si>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</si>
  <si>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</si>
  <si>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</si>
  <si>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</si>
  <si>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</si>
  <si>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</si>
  <si>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</si>
  <si>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</si>
  <si>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</si>
  <si>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</si>
  <si>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</si>
  <si>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</si>
  <si>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</si>
  <si>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</si>
  <si>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</si>
  <si>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</si>
  <si>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</si>
  <si>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</si>
  <si>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</si>
  <si>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</si>
  <si>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</si>
  <si>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</si>
  <si>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</si>
  <si>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</si>
  <si>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</si>
  <si>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</si>
  <si>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</si>
  <si>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</si>
  <si>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</si>
  <si>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</si>
  <si>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</si>
  <si>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</si>
  <si>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</si>
  <si>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</si>
  <si>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</si>
  <si>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</si>
  <si>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</si>
  <si>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</si>
  <si>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</si>
  <si>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</si>
  <si>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</si>
  <si>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</si>
  <si>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</si>
  <si>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</si>
  <si>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</si>
  <si>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</si>
  <si>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</si>
  <si>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</si>
  <si>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</si>
  <si>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</si>
  <si>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</si>
  <si>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</si>
  <si>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</si>
  <si>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</si>
  <si>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</si>
  <si>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</si>
  <si>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</si>
  <si>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</si>
  <si>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</si>
  <si>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</si>
  <si>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</si>
  <si>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</si>
  <si>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</si>
  <si>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</si>
  <si>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</si>
  <si>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</si>
  <si>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</si>
  <si>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</si>
  <si>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</si>
  <si>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</si>
  <si>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</si>
  <si>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</si>
  <si>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</si>
  <si>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</si>
  <si>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</si>
  <si>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</si>
  <si>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</si>
  <si>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</si>
  <si>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</si>
  <si>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</si>
  <si>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</si>
  <si>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</si>
  <si>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</si>
  <si>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</si>
  <si>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</si>
  <si>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</si>
  <si>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</si>
  <si>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</si>
  <si>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</si>
  <si>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</si>
  <si>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</si>
  <si>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</si>
  <si>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</si>
  <si>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</si>
  <si>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</si>
  <si>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</si>
  <si>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</si>
  <si>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</si>
  <si>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</si>
  <si>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</si>
  <si>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</si>
  <si>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</si>
  <si>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</si>
  <si>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</si>
  <si>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</si>
  <si>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</si>
  <si>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</si>
  <si>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</si>
  <si>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</si>
  <si>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</si>
  <si>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</si>
  <si>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</si>
  <si>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</si>
  <si>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</si>
  <si>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</si>
  <si>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</si>
  <si>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</si>
  <si>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</si>
  <si>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</si>
  <si>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</si>
  <si>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</si>
  <si>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</si>
  <si>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</si>
  <si>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</si>
  <si>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</si>
  <si>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</si>
  <si>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</si>
  <si>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</si>
  <si>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</si>
  <si>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</si>
  <si>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</si>
  <si>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</si>
  <si>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</si>
  <si>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</si>
  <si>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</si>
  <si>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</si>
  <si>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</si>
  <si>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</si>
  <si>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</si>
  <si>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</si>
  <si>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</si>
  <si>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</si>
  <si>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</si>
  <si>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</si>
  <si>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</si>
  <si>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</si>
  <si>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</si>
  <si>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</si>
  <si>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</si>
  <si>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</si>
  <si>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</si>
  <si>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</si>
  <si>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</si>
  <si>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</si>
  <si>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</si>
  <si>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</si>
  <si>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</si>
  <si>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</si>
  <si>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</si>
  <si>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</si>
  <si>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</si>
  <si>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</si>
  <si>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</si>
  <si>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</si>
  <si>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</si>
  <si>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</si>
  <si>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</si>
  <si>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</si>
  <si>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</si>
  <si>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</si>
  <si>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</si>
  <si>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</si>
  <si>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</si>
  <si>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</si>
  <si>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</si>
  <si>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</si>
  <si>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</si>
  <si>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</si>
  <si>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</si>
  <si>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</si>
  <si>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</si>
  <si>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</si>
  <si>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</si>
  <si>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</si>
  <si>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</si>
  <si>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</si>
  <si>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</si>
  <si>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</si>
  <si>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</si>
  <si>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</si>
  <si>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</si>
  <si>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</si>
  <si>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</si>
  <si>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</si>
  <si>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</si>
  <si>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</si>
  <si>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</si>
  <si>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</si>
  <si>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</si>
  <si>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</si>
  <si>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</si>
  <si>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</si>
  <si>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</si>
  <si>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</si>
  <si>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</si>
  <si>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</si>
  <si>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</si>
  <si>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</si>
  <si>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</si>
  <si>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</si>
  <si>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</si>
  <si>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</si>
  <si>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</si>
  <si>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</si>
  <si>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</si>
  <si>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</si>
  <si>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</si>
  <si>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</si>
  <si>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</si>
  <si>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</si>
  <si>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</si>
  <si>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</si>
  <si>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</si>
  <si>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</si>
  <si>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</si>
  <si>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</si>
  <si>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</si>
  <si>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</si>
  <si>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</si>
  <si>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</si>
  <si>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</si>
  <si>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</si>
  <si>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</si>
  <si>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</si>
  <si>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</si>
  <si>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</si>
  <si>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</si>
  <si>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</si>
  <si>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</si>
  <si>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</si>
  <si>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</si>
  <si>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</si>
  <si>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</si>
  <si>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</si>
  <si>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</si>
  <si>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</si>
  <si>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</si>
  <si>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</si>
  <si>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</si>
  <si>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</si>
  <si>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</si>
  <si>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</si>
  <si>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</si>
  <si>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</si>
  <si>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</si>
  <si>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</si>
  <si>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</si>
  <si>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</si>
  <si>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</si>
  <si>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</si>
  <si>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</si>
  <si>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</si>
  <si>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</si>
  <si>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</si>
  <si>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</si>
  <si>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</si>
  <si>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</si>
  <si>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</si>
  <si>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</si>
  <si>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</si>
  <si>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</si>
  <si>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</si>
  <si>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</si>
  <si>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</si>
  <si>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</si>
  <si>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</si>
  <si>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</si>
  <si>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</si>
  <si>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</si>
  <si>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</si>
  <si>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</si>
  <si>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</si>
  <si>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</si>
  <si>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</si>
  <si>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</si>
  <si>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</si>
  <si>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</si>
  <si>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</si>
  <si>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</si>
  <si>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</si>
  <si>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</si>
  <si>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</si>
  <si>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</si>
  <si>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</si>
  <si>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</si>
  <si>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</si>
  <si>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</si>
  <si>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</si>
  <si>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</si>
  <si>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</si>
  <si>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</si>
  <si>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</si>
  <si>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</si>
  <si>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</si>
  <si>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</si>
  <si>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</si>
  <si>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</si>
  <si>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</si>
  <si>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</si>
  <si>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</si>
  <si>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</si>
  <si>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</si>
  <si>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</si>
  <si>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</si>
  <si>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</si>
  <si>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</si>
  <si>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</si>
  <si>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</si>
  <si>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</si>
  <si>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</si>
  <si>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</si>
  <si>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</si>
  <si>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</si>
  <si>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</si>
  <si>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</si>
  <si>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</si>
  <si>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</si>
  <si>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</si>
  <si>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</si>
  <si>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</si>
  <si>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</si>
  <si>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</si>
  <si>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</si>
  <si>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</si>
  <si>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</si>
  <si>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</si>
  <si>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</si>
  <si>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</si>
  <si>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</si>
  <si>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</si>
  <si>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</si>
  <si>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</si>
  <si>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</si>
  <si>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</si>
  <si>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</si>
  <si>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</si>
  <si>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</si>
  <si>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</si>
  <si>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</si>
  <si>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</si>
  <si>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</si>
  <si>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</si>
  <si>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</si>
  <si>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</si>
  <si>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</si>
  <si>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</si>
  <si>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</si>
  <si>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</si>
  <si>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</si>
  <si>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</si>
  <si>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</si>
  <si>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</si>
  <si>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</si>
  <si>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</si>
  <si>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</si>
  <si>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</si>
  <si>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</si>
  <si>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</si>
  <si>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</si>
  <si>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</si>
  <si>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</si>
  <si>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</si>
  <si>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</si>
  <si>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</si>
  <si>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</si>
  <si>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</si>
  <si>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</si>
  <si>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</si>
  <si>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</si>
  <si>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</si>
  <si>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</si>
  <si>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</si>
  <si>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</si>
  <si>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</si>
  <si>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</si>
  <si>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</si>
  <si>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</si>
  <si>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</si>
  <si>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</si>
  <si>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</si>
  <si>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</si>
  <si>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</si>
  <si>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</si>
  <si>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</si>
  <si>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</si>
  <si>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</si>
  <si>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</si>
  <si>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</si>
  <si>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</si>
  <si>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</si>
  <si>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</si>
  <si>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</si>
  <si>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</si>
  <si>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</si>
  <si>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</si>
  <si>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</si>
  <si>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</si>
  <si>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</si>
  <si>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</si>
  <si>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</si>
  <si>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</si>
  <si>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</si>
  <si>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</si>
  <si>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</si>
  <si>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</si>
  <si>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</si>
  <si>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</si>
  <si>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</si>
  <si>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</si>
  <si>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</si>
  <si>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</si>
  <si>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</si>
  <si>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</si>
  <si>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</si>
  <si>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</si>
  <si>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</si>
  <si>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</si>
  <si>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</si>
  <si>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</si>
  <si>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</si>
  <si>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</si>
  <si>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</si>
  <si>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</si>
  <si>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</si>
  <si>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</si>
  <si>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</si>
  <si>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</si>
  <si>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</si>
  <si>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</si>
  <si>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</si>
  <si>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</si>
  <si>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</si>
  <si>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</si>
  <si>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</si>
  <si>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</si>
  <si>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</si>
  <si>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</si>
  <si>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</si>
  <si>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</si>
  <si>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</si>
  <si>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</si>
  <si>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</si>
  <si>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</si>
  <si>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</si>
  <si>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</si>
  <si>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</si>
  <si>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</si>
  <si>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</si>
  <si>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</si>
  <si>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</si>
  <si>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</si>
  <si>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</si>
  <si>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</si>
  <si>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</si>
  <si>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</si>
  <si>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</si>
  <si>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</si>
  <si>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</si>
  <si>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</si>
  <si>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</si>
  <si>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</si>
  <si>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</si>
  <si>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</si>
  <si>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</si>
  <si>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</si>
  <si>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</si>
  <si>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</si>
  <si>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</si>
  <si>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</si>
  <si>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</si>
  <si>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</si>
  <si>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</si>
  <si>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</si>
  <si>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</si>
  <si>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</si>
  <si>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</si>
  <si>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</si>
  <si>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</si>
  <si>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</si>
  <si>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</si>
  <si>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</si>
  <si>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</si>
  <si>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</si>
  <si>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</si>
  <si>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</si>
  <si>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</si>
  <si>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</si>
  <si>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</si>
  <si>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</si>
  <si>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</si>
  <si>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</si>
  <si>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</si>
  <si>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</si>
  <si>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</si>
  <si>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</si>
  <si>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</si>
  <si>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</si>
  <si>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</si>
  <si>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</si>
  <si>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</si>
  <si>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</si>
  <si>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</si>
  <si>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</si>
  <si>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</si>
  <si>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</si>
  <si>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</si>
  <si>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</si>
  <si>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</si>
  <si>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</si>
  <si>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</si>
  <si>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</si>
  <si>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</si>
  <si>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</si>
  <si>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</si>
  <si>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</si>
  <si>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</si>
  <si>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</si>
  <si>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</si>
  <si>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</si>
  <si>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</si>
  <si>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</si>
  <si>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</si>
  <si>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</si>
  <si>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</si>
  <si>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</si>
  <si>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</si>
  <si>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</si>
  <si>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</si>
  <si>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</si>
  <si>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</si>
  <si>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</si>
  <si>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</si>
  <si>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</si>
  <si>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</si>
  <si>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</si>
  <si>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</si>
  <si>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</si>
  <si>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</si>
  <si>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</si>
  <si>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</si>
  <si>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</si>
  <si>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</si>
  <si>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</si>
  <si>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</si>
  <si>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</si>
  <si>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</si>
  <si>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</si>
  <si>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</si>
  <si>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</si>
  <si>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</si>
  <si>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</si>
  <si>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</si>
  <si>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</si>
  <si>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</si>
  <si>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</si>
  <si>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</si>
  <si>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</si>
  <si>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</si>
  <si>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</si>
  <si>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</si>
  <si>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</si>
  <si>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</si>
  <si>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</si>
  <si>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</si>
  <si>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</si>
  <si>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</si>
  <si>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</si>
  <si>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</si>
  <si>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</si>
  <si>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</si>
  <si>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</si>
  <si>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</si>
  <si>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</si>
  <si>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</si>
  <si>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</si>
  <si>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</si>
  <si>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</si>
  <si>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</si>
  <si>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</si>
  <si>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</si>
  <si>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</si>
  <si>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</si>
  <si>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</si>
  <si>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</si>
  <si>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</si>
  <si>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</si>
  <si>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</si>
  <si>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</si>
  <si>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</si>
  <si>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</si>
  <si>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</si>
  <si>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</si>
  <si>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</si>
  <si>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</si>
  <si>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</si>
  <si>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</si>
  <si>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</si>
  <si>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</si>
  <si>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</si>
  <si>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</si>
  <si>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</si>
  <si>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</si>
  <si>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</si>
  <si>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</si>
  <si>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</si>
  <si>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</si>
  <si>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</si>
  <si>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</si>
  <si>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</si>
  <si>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</si>
  <si>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</si>
  <si>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</si>
  <si>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</si>
  <si>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</si>
  <si>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</si>
  <si>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</si>
  <si>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</si>
  <si>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</si>
  <si>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</si>
  <si>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</si>
  <si>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</si>
  <si>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</si>
  <si>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</si>
  <si>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</si>
  <si>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</si>
  <si>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</si>
  <si>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</si>
  <si>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</si>
  <si>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</si>
  <si>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</si>
  <si>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</si>
  <si>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</si>
  <si>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</si>
  <si>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</si>
  <si>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</si>
  <si>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</si>
  <si>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</si>
  <si>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</si>
  <si>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</si>
  <si>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</si>
  <si>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</si>
  <si>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</si>
  <si>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</si>
  <si>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</si>
  <si>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</si>
  <si>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</si>
  <si>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</si>
  <si>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</si>
  <si>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</si>
  <si>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</si>
  <si>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</si>
  <si>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</si>
  <si>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</si>
  <si>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</si>
  <si>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</si>
  <si>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</si>
  <si>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</si>
  <si>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</si>
  <si>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</si>
  <si>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</si>
  <si>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</si>
  <si>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</si>
  <si>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</si>
  <si>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</si>
  <si>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</si>
  <si>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</si>
  <si>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</si>
  <si>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</si>
  <si>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</si>
  <si>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</si>
  <si>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</si>
  <si>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</si>
  <si>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</si>
  <si>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</si>
  <si>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</si>
  <si>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</si>
  <si>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</si>
  <si>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</si>
  <si>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</si>
  <si>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</si>
  <si>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</si>
  <si>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</si>
  <si>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</si>
  <si>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</si>
  <si>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</si>
  <si>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</si>
  <si>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</si>
  <si>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</si>
  <si>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</si>
  <si>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</si>
  <si>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</si>
  <si>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</si>
  <si>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</si>
  <si>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</si>
  <si>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</si>
  <si>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</si>
  <si>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</si>
  <si>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</si>
  <si>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</si>
  <si>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</si>
  <si>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</si>
  <si>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</si>
  <si>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</si>
  <si>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</si>
  <si>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</si>
  <si>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</si>
  <si>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</si>
  <si>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</si>
  <si>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</si>
  <si>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</si>
  <si>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</si>
  <si>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</si>
  <si>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</si>
  <si>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</si>
  <si>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</si>
  <si>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</si>
  <si>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</si>
  <si>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</si>
  <si>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</si>
  <si>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</si>
  <si>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</si>
  <si>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</si>
  <si>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</si>
  <si>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</si>
  <si>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</si>
  <si>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</si>
  <si>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</si>
  <si>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</si>
  <si>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</si>
  <si>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</si>
  <si>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</si>
  <si>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</si>
  <si>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</si>
  <si>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</si>
  <si>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</si>
  <si>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</si>
  <si>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</si>
  <si>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</si>
  <si>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</si>
  <si>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</si>
  <si>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</si>
  <si>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</si>
  <si>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</si>
  <si>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</si>
  <si>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</si>
  <si>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</si>
  <si>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</si>
  <si>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</si>
  <si>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</si>
  <si>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</si>
  <si>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</si>
  <si>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</si>
  <si>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</si>
  <si>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</si>
  <si>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</si>
  <si>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</si>
  <si>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</si>
  <si>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</si>
  <si>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</si>
  <si>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</si>
  <si>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</si>
  <si>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</si>
  <si>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</si>
  <si>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</si>
  <si>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</si>
  <si>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</si>
  <si>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</si>
  <si>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</si>
  <si>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</si>
  <si>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</si>
  <si>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</si>
  <si>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</si>
  <si>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</si>
  <si>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</si>
  <si>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</si>
  <si>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</si>
  <si>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</si>
  <si>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</si>
  <si>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</si>
  <si>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</si>
  <si>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</si>
  <si>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</si>
  <si>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</si>
  <si>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</si>
  <si>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</si>
  <si>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</si>
  <si>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</si>
  <si>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</si>
  <si>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</si>
  <si>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</si>
  <si>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</si>
  <si>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</si>
  <si>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</si>
  <si>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</si>
  <si>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</si>
  <si>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</si>
  <si>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</si>
  <si>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</si>
  <si>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</si>
  <si>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</si>
  <si>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</si>
  <si>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</si>
  <si>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</si>
  <si>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</si>
  <si>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</si>
  <si>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</si>
  <si>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</si>
  <si>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</si>
  <si>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</si>
  <si>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</si>
  <si>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</si>
  <si>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</si>
  <si>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</si>
  <si>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</si>
  <si>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</si>
  <si>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</si>
  <si>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</si>
  <si>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</si>
  <si>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</si>
  <si>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</si>
  <si>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</si>
  <si>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</si>
  <si>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</si>
  <si>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</si>
  <si>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</si>
  <si>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</si>
  <si>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</si>
  <si>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</si>
  <si>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</si>
  <si>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</si>
  <si>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</si>
  <si>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</si>
  <si>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</si>
  <si>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</si>
  <si>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</si>
  <si>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</si>
  <si>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</si>
  <si>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</si>
  <si>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</si>
  <si>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</si>
  <si>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</si>
  <si>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</si>
  <si>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</si>
  <si>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</si>
  <si>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</si>
  <si>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</si>
  <si>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</si>
  <si>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</si>
  <si>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</si>
  <si>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</si>
  <si>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</si>
  <si>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</si>
  <si>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</si>
  <si>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</si>
  <si>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</si>
  <si>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</si>
  <si>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</si>
  <si>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</si>
  <si>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</si>
  <si>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</si>
  <si>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</si>
  <si>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</si>
  <si>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</si>
  <si>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</si>
  <si>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</si>
  <si>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</si>
  <si>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</si>
  <si>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</si>
  <si>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</si>
  <si>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</si>
  <si>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</si>
  <si>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</si>
  <si>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</si>
  <si>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</si>
  <si>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</si>
  <si>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</si>
  <si>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</si>
  <si>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</si>
  <si>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</si>
  <si>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</si>
  <si>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</si>
  <si>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</si>
  <si>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</si>
  <si>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</si>
  <si>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</si>
  <si>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</si>
  <si>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</si>
  <si>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</si>
  <si>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</si>
  <si>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</si>
  <si>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</si>
  <si>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</si>
  <si>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</si>
  <si>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</si>
  <si>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</si>
  <si>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</si>
  <si>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</si>
  <si>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</si>
  <si>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</si>
  <si>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</si>
  <si>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</si>
  <si>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</si>
  <si>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</si>
  <si>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</si>
  <si>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</si>
  <si>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</si>
  <si>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</si>
  <si>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</si>
  <si>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</si>
  <si>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</si>
  <si>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</si>
  <si>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</si>
  <si>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</si>
  <si>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</si>
  <si>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</si>
  <si>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</si>
  <si>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</si>
  <si>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</si>
  <si>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</si>
  <si>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</si>
  <si>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</si>
  <si>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</si>
  <si>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</si>
  <si>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</si>
  <si>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</si>
  <si>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</si>
  <si>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</si>
  <si>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</si>
  <si>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</si>
  <si>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</si>
  <si>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</si>
  <si>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</si>
  <si>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</si>
  <si>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</si>
  <si>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</si>
  <si>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</si>
  <si>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</si>
  <si>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</si>
  <si>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</si>
  <si>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</si>
  <si>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</si>
  <si>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</si>
  <si>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</si>
  <si>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</si>
  <si>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</si>
  <si>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</si>
  <si>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</si>
  <si>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</si>
  <si>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</si>
  <si>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</si>
  <si>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</si>
  <si>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</si>
  <si>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</si>
  <si>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</si>
  <si>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</si>
  <si>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</si>
  <si>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</si>
  <si>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</si>
  <si>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</si>
  <si>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</si>
  <si>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</si>
  <si>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</si>
  <si>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</si>
  <si>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</si>
  <si>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</si>
  <si>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</si>
  <si>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</si>
  <si>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</si>
  <si>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</si>
  <si>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</si>
  <si>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</si>
  <si>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</si>
  <si>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</si>
  <si>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</si>
  <si>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</si>
  <si>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</si>
  <si>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</si>
  <si>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</si>
  <si>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</si>
  <si>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</si>
  <si>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</si>
  <si>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</si>
  <si>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</si>
  <si>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</si>
  <si>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</si>
  <si>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</si>
  <si>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</si>
  <si>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</si>
  <si>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</si>
  <si>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</si>
  <si>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</si>
  <si>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</si>
  <si>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</si>
  <si>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</si>
  <si>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</si>
  <si>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</si>
  <si>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</si>
  <si>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</si>
  <si>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</si>
  <si>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</si>
  <si>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</si>
  <si>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</si>
  <si>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</si>
  <si>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</si>
  <si>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</si>
  <si>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</si>
  <si>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</si>
  <si>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</si>
  <si>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</si>
  <si>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</si>
  <si>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</si>
  <si>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</si>
  <si>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</si>
  <si>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</si>
  <si>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</si>
  <si>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</si>
  <si>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</si>
  <si>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</si>
  <si>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</si>
  <si>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</si>
  <si>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</si>
  <si>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</si>
  <si>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</si>
  <si>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</si>
  <si>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</si>
  <si>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</si>
  <si>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</si>
  <si>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</si>
  <si>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</si>
  <si>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</si>
  <si>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</si>
  <si>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</si>
  <si>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</si>
  <si>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</si>
  <si>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</si>
  <si>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</si>
  <si>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</si>
  <si>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</si>
  <si>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</si>
  <si>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</si>
  <si>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</si>
  <si>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</si>
  <si>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</si>
  <si>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</si>
  <si>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</si>
  <si>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</si>
  <si>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</si>
  <si>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</si>
  <si>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</si>
  <si>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</si>
  <si>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</si>
  <si>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</si>
  <si>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</si>
  <si>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</si>
  <si>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</si>
  <si>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</si>
  <si>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</si>
  <si>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</si>
  <si>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</si>
  <si>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</si>
  <si>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</si>
  <si>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</si>
  <si>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</si>
  <si>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</si>
  <si>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</si>
  <si>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</si>
  <si>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</si>
  <si>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</si>
  <si>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</si>
  <si>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</si>
  <si>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</si>
  <si>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</si>
  <si>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</si>
  <si>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</si>
  <si>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</si>
  <si>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</si>
  <si>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</si>
  <si>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</si>
  <si>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</si>
  <si>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</si>
  <si>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</si>
  <si>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</si>
  <si>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</si>
  <si>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</si>
  <si>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</si>
  <si>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</si>
  <si>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</si>
  <si>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</si>
  <si>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</si>
  <si>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</si>
  <si>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</si>
  <si>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</si>
  <si>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</si>
  <si>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</si>
  <si>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</si>
  <si>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</si>
  <si>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</si>
  <si>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</si>
  <si>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</si>
  <si>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</si>
  <si>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</si>
  <si>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</si>
  <si>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</si>
  <si>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</si>
  <si>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</si>
  <si>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</si>
  <si>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</si>
  <si>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</si>
  <si>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</si>
  <si>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</si>
  <si>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</si>
  <si>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</si>
  <si>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</si>
  <si>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</si>
  <si>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</si>
  <si>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</si>
  <si>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</si>
  <si>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</si>
  <si>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</si>
  <si>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</si>
  <si>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</si>
  <si>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</si>
  <si>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</si>
  <si>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</si>
  <si>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</si>
  <si>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</si>
  <si>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</si>
  <si>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</si>
  <si>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</si>
  <si>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</si>
  <si>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</si>
  <si>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</si>
  <si>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</si>
  <si>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</si>
  <si>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</si>
  <si>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</si>
  <si>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</si>
  <si>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</si>
  <si>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</si>
  <si>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</si>
  <si>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</si>
  <si>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</si>
  <si>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</si>
  <si>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</si>
  <si>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</si>
  <si>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</si>
  <si>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</si>
  <si>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</si>
  <si>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</si>
  <si>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</si>
  <si>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</si>
  <si>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</si>
  <si>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</si>
  <si>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</si>
  <si>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</si>
  <si>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</si>
  <si>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</si>
  <si>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</si>
  <si>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</si>
  <si>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</si>
  <si>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</si>
  <si>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</si>
  <si>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</si>
  <si>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</si>
  <si>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</si>
  <si>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</si>
  <si>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</si>
  <si>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</si>
  <si>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</si>
  <si>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</si>
  <si>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</si>
  <si>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</si>
  <si>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</si>
  <si>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</si>
  <si>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</si>
  <si>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</si>
  <si>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</si>
  <si>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</si>
  <si>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</si>
  <si>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</si>
  <si>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</si>
  <si>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</si>
  <si>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</si>
  <si>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</si>
  <si>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</si>
  <si>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</si>
  <si>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</si>
  <si>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</si>
  <si>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</si>
  <si>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</si>
  <si>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</si>
  <si>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</si>
  <si>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</si>
  <si>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</si>
  <si>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</si>
  <si>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</si>
  <si>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</si>
  <si>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</si>
  <si>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</si>
  <si>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</si>
  <si>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</si>
  <si>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</si>
  <si>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</si>
  <si>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</si>
  <si>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</si>
  <si>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</si>
  <si>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</si>
  <si>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</si>
  <si>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</si>
  <si>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</si>
  <si>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</si>
  <si>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</si>
  <si>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</si>
  <si>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</si>
  <si>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</si>
  <si>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</si>
  <si>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</si>
  <si>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</si>
  <si>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</si>
  <si>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</si>
  <si>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</si>
  <si>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</si>
  <si>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</si>
  <si>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</si>
  <si>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</si>
  <si>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</si>
  <si>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</si>
  <si>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</si>
  <si>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</si>
  <si>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</si>
  <si>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</si>
  <si>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</si>
  <si>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</si>
  <si>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</si>
  <si>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</si>
  <si>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</si>
  <si>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</si>
  <si>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</si>
  <si>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</si>
  <si>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</si>
  <si>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</si>
  <si>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</si>
  <si>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</si>
  <si>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</si>
  <si>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</si>
  <si>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</si>
  <si>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</si>
  <si>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</si>
  <si>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</si>
  <si>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</si>
  <si>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</si>
  <si>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</si>
  <si>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</si>
  <si>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</si>
  <si>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</si>
  <si>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</si>
  <si>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</si>
  <si>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</si>
  <si>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</si>
  <si>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</si>
  <si>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</si>
  <si>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</si>
  <si>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</si>
  <si>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</si>
  <si>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</si>
  <si>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</si>
  <si>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</si>
  <si>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</si>
  <si>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</si>
  <si>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</si>
  <si>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</si>
  <si>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</si>
  <si>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</si>
  <si>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</si>
  <si>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</si>
  <si>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</si>
  <si>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</si>
  <si>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</si>
  <si>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</si>
  <si>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</si>
  <si>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</si>
  <si>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</si>
  <si>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</si>
  <si>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</si>
  <si>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</si>
  <si>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</si>
  <si>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</si>
  <si>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</si>
  <si>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</si>
  <si>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</si>
  <si>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</si>
  <si>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</si>
  <si>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</si>
  <si>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</si>
  <si>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</si>
  <si>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</si>
  <si>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</si>
  <si>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</si>
  <si>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</si>
  <si>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</si>
  <si>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</si>
  <si>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</si>
  <si>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</si>
  <si>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</si>
  <si>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</si>
  <si>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</si>
  <si>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</si>
  <si>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</si>
  <si>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</si>
  <si>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</si>
  <si>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</si>
  <si>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</si>
  <si>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</si>
  <si>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</si>
  <si>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</si>
  <si>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</si>
  <si>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</si>
  <si>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</si>
  <si>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</si>
  <si>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</si>
  <si>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</si>
  <si>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</si>
  <si>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</si>
  <si>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</si>
  <si>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</si>
  <si>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</si>
  <si>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</si>
  <si>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</si>
  <si>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</si>
  <si>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</si>
  <si>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</si>
  <si>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</si>
  <si>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</si>
  <si>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</si>
  <si>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</si>
  <si>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</si>
  <si>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</si>
  <si>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</si>
  <si>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</si>
  <si>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</si>
  <si>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</si>
  <si>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</si>
  <si>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</si>
  <si>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</si>
  <si>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</si>
  <si>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</si>
  <si>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</si>
  <si>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</si>
  <si>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</si>
  <si>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</si>
  <si>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</si>
  <si>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</si>
  <si>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</si>
  <si>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</si>
  <si>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</si>
  <si>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</si>
  <si>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</si>
  <si>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</si>
  <si>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</si>
  <si>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</si>
  <si>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</si>
  <si>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</si>
  <si>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</si>
  <si>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</si>
  <si>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</si>
  <si>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</si>
  <si>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</si>
  <si>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</si>
  <si>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</si>
  <si>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</si>
  <si>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</si>
  <si>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</si>
  <si>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</si>
  <si>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</si>
  <si>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</si>
  <si>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</si>
  <si>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</si>
  <si>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</si>
  <si>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</si>
  <si>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</si>
  <si>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</si>
  <si>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</si>
  <si>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</si>
  <si>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</si>
  <si>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</si>
  <si>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</si>
  <si>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</si>
  <si>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</si>
  <si>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</si>
  <si>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</si>
  <si>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</si>
  <si>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</si>
  <si>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</si>
  <si>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</si>
  <si>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</si>
  <si>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</si>
  <si>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</si>
  <si>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</si>
  <si>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</si>
  <si>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</si>
  <si>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</si>
  <si>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</si>
  <si>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</si>
  <si>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</si>
  <si>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</si>
  <si>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</si>
  <si>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</si>
  <si>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</si>
  <si>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</si>
  <si>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</si>
  <si>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</si>
  <si>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</si>
  <si>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</si>
  <si>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</si>
  <si>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</si>
  <si>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</si>
  <si>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</si>
  <si>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</si>
  <si>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</si>
  <si>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</si>
  <si>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</si>
  <si>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</si>
  <si>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</si>
  <si>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</si>
  <si>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</si>
  <si>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</si>
  <si>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</si>
  <si>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</si>
  <si>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</si>
  <si>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</si>
  <si>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</si>
  <si>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</si>
  <si>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</si>
  <si>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</si>
  <si>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</si>
  <si>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</si>
  <si>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</si>
  <si>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</si>
  <si>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</si>
  <si>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</si>
  <si>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</si>
  <si>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</si>
  <si>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</si>
  <si>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</si>
  <si>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</si>
  <si>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</si>
  <si>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</si>
  <si>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</si>
  <si>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</si>
  <si>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</si>
  <si>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</si>
  <si>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</si>
  <si>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</si>
  <si>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</si>
  <si>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</si>
  <si>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</si>
  <si>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</si>
  <si>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</si>
  <si>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</si>
  <si>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</si>
  <si>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</si>
  <si>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</si>
  <si>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</si>
  <si>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</si>
  <si>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</si>
  <si>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</si>
  <si>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</si>
  <si>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</si>
  <si>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</si>
  <si>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</si>
  <si>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</si>
  <si>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</si>
  <si>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</si>
  <si>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</si>
  <si>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</si>
  <si>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</si>
  <si>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</si>
  <si>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</si>
  <si>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</si>
  <si>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</si>
  <si>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</si>
  <si>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</si>
  <si>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</si>
  <si>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</si>
  <si>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</si>
  <si>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</si>
  <si>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</si>
  <si>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</si>
  <si>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</si>
  <si>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</si>
  <si>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</si>
  <si>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</si>
  <si>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</si>
  <si>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</si>
  <si>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</si>
  <si>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</si>
  <si>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</si>
  <si>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</si>
  <si>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</si>
  <si>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</si>
  <si>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</si>
  <si>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</si>
  <si>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</si>
  <si>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</si>
  <si>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</si>
  <si>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</si>
  <si>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</si>
  <si>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</si>
  <si>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</si>
  <si>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</si>
  <si>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</si>
  <si>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</si>
  <si>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</si>
  <si>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</si>
  <si>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</si>
  <si>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</si>
  <si>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</si>
  <si>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</si>
  <si>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</si>
  <si>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</si>
  <si>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</si>
  <si>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</si>
  <si>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</si>
  <si>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</si>
  <si>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</si>
  <si>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</si>
  <si>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</si>
  <si>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</si>
  <si>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</si>
  <si>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</si>
  <si>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</si>
  <si>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</si>
  <si>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</si>
  <si>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</si>
  <si>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</si>
  <si>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</si>
  <si>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</si>
  <si>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</si>
  <si>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</si>
  <si>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</si>
  <si>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</si>
  <si>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</si>
  <si>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</si>
  <si>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</si>
  <si>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</si>
  <si>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</si>
  <si>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</si>
  <si>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</si>
  <si>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</si>
  <si>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</si>
  <si>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</si>
  <si>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</si>
  <si>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</si>
  <si>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</si>
  <si>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</si>
  <si>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</si>
  <si>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</si>
  <si>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</si>
  <si>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</si>
  <si>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</si>
  <si>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</si>
  <si>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</si>
  <si>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</si>
  <si>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</si>
  <si>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</si>
  <si>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</si>
  <si>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</si>
  <si>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</si>
  <si>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</si>
  <si>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</si>
  <si>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</si>
  <si>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</si>
  <si>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</si>
  <si>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</si>
  <si>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</si>
  <si>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</si>
  <si>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</si>
  <si>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</si>
  <si>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</si>
  <si>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</si>
  <si>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</si>
  <si>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</si>
  <si>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</si>
  <si>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</si>
  <si>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</si>
  <si>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</si>
  <si>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</si>
  <si>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</si>
  <si>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</si>
  <si>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</si>
  <si>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</si>
  <si>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</si>
  <si>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</si>
  <si>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</si>
  <si>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</si>
  <si>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</si>
  <si>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</si>
  <si>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</si>
  <si>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</si>
  <si>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</si>
  <si>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</si>
  <si>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</si>
  <si>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</si>
  <si>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</si>
  <si>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</si>
  <si>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</si>
  <si>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</si>
  <si>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</si>
  <si>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</si>
  <si>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</si>
  <si>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</si>
  <si>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</si>
  <si>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</si>
  <si>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</si>
  <si>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</si>
  <si>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</si>
  <si>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</si>
  <si>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</si>
  <si>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</si>
  <si>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</si>
  <si>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</si>
  <si>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</si>
  <si>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</si>
  <si>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</si>
  <si>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</si>
  <si>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</si>
  <si>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</si>
  <si>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</si>
  <si>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</si>
  <si>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</si>
  <si>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</si>
  <si>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</si>
  <si>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</si>
  <si>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</si>
  <si>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</si>
  <si>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</si>
  <si>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</si>
  <si>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</si>
  <si>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</si>
  <si>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</si>
  <si>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</si>
  <si>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</si>
  <si>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</si>
  <si>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</si>
  <si>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</si>
  <si>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</si>
  <si>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</si>
  <si>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</si>
  <si>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</si>
  <si>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</si>
  <si>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</si>
  <si>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</si>
  <si>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</si>
  <si>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</si>
  <si>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</si>
  <si>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</si>
  <si>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</si>
  <si>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</si>
  <si>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</si>
  <si>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</si>
  <si>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</si>
  <si>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</si>
  <si>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</si>
  <si>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</si>
  <si>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</si>
  <si>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</si>
  <si>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</si>
  <si>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</si>
  <si>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</si>
  <si>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</si>
  <si>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</si>
  <si>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</si>
  <si>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</si>
  <si>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</si>
  <si>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</si>
  <si>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</si>
  <si>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</si>
  <si>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</si>
  <si>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</si>
  <si>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</si>
  <si>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</si>
  <si>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</si>
  <si>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</si>
  <si>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</si>
  <si>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</si>
  <si>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</si>
  <si>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</si>
  <si>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</si>
  <si>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</si>
  <si>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</si>
  <si>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</si>
  <si>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</si>
  <si>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</si>
  <si>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</si>
  <si>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</si>
  <si>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</si>
  <si>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</si>
  <si>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</si>
  <si>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</si>
  <si>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</si>
  <si>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</si>
  <si>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</si>
  <si>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</si>
  <si>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</si>
  <si>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</si>
  <si>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</si>
  <si>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</si>
  <si>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</si>
  <si>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</si>
  <si>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</si>
  <si>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</si>
  <si>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</si>
  <si>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</si>
  <si>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</si>
  <si>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</si>
  <si>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</si>
  <si>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</si>
  <si>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</si>
  <si>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</si>
  <si>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</si>
  <si>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</si>
  <si>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</si>
  <si>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</si>
  <si>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</si>
  <si>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</si>
  <si>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</si>
  <si>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</si>
  <si>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</si>
  <si>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</si>
  <si>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</si>
  <si>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</si>
  <si>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</si>
  <si>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</si>
  <si>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</si>
  <si>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</si>
  <si>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</si>
  <si>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</si>
  <si>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</si>
  <si>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</si>
  <si>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</si>
  <si>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</si>
  <si>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</si>
  <si>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</si>
  <si>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</si>
  <si>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</si>
  <si>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</si>
  <si>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</si>
  <si>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</si>
  <si>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</si>
  <si>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</si>
  <si>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</si>
  <si>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</si>
  <si>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</si>
  <si>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</si>
  <si>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</si>
  <si>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</si>
  <si>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</si>
  <si>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</si>
  <si>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</si>
  <si>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</si>
  <si>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</si>
  <si>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</si>
  <si>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</si>
  <si>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</si>
  <si>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</si>
  <si>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</si>
  <si>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</si>
  <si>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</si>
  <si>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</si>
  <si>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</si>
  <si>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</si>
  <si>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</si>
  <si>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</si>
  <si>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</si>
  <si>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</si>
  <si>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</si>
  <si>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</si>
  <si>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</si>
  <si>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</si>
  <si>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</si>
  <si>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</si>
  <si>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</si>
  <si>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</si>
  <si>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</si>
  <si>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</si>
  <si>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</si>
  <si>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</si>
  <si>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</si>
  <si>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</si>
  <si>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</si>
  <si>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</si>
  <si>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</si>
  <si>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</si>
  <si>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</si>
  <si>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</si>
  <si>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</si>
  <si>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</si>
  <si>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</si>
  <si>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</si>
  <si>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</si>
  <si>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</si>
  <si>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</si>
  <si>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</si>
  <si>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</si>
  <si>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</si>
  <si>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</si>
  <si>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</si>
  <si>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</si>
  <si>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</si>
  <si>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</si>
  <si>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</si>
  <si>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</si>
  <si>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</si>
  <si>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</si>
  <si>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</si>
  <si>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</si>
  <si>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</si>
  <si>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</si>
  <si>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</si>
  <si>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</si>
  <si>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</si>
  <si>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</si>
  <si>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</si>
  <si>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</si>
  <si>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</si>
  <si>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</si>
  <si>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</si>
  <si>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</si>
  <si>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</si>
  <si>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</si>
  <si>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</si>
  <si>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</si>
  <si>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</si>
  <si>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</si>
  <si>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</si>
  <si>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</si>
  <si>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</si>
  <si>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</si>
  <si>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</si>
  <si>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</si>
  <si>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</si>
  <si>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</si>
  <si>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</si>
  <si>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</si>
  <si>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</si>
  <si>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</si>
  <si>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</si>
  <si>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</si>
  <si>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</si>
  <si>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</si>
  <si>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</si>
  <si>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</si>
  <si>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</si>
  <si>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</si>
  <si>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</si>
  <si>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</si>
  <si>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</si>
  <si>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</si>
  <si>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</si>
  <si>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</si>
  <si>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</si>
  <si>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</si>
  <si>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</si>
  <si>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</si>
  <si>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</si>
  <si>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</si>
  <si>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</si>
  <si>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</si>
  <si>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</si>
  <si>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</si>
  <si>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</si>
  <si>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</si>
  <si>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</si>
  <si>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</si>
  <si>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</si>
  <si>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</si>
  <si>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</si>
  <si>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</si>
  <si>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</si>
  <si>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</si>
  <si>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</si>
  <si>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</si>
  <si>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</si>
  <si>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</si>
  <si>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</si>
  <si>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</si>
  <si>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</si>
  <si>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</si>
  <si>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</si>
  <si>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</si>
  <si>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</si>
  <si>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</si>
  <si>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</si>
  <si>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</si>
  <si>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</si>
  <si>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</si>
  <si>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</si>
  <si>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</si>
  <si>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</si>
  <si>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</si>
  <si>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</si>
  <si>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</si>
  <si>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</si>
  <si>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</si>
  <si>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</si>
  <si>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</si>
  <si>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</si>
  <si>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</si>
  <si>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</si>
  <si>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</si>
  <si>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</si>
  <si>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</si>
  <si>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</si>
  <si>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</si>
  <si>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</si>
  <si>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</si>
  <si>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</si>
  <si>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</si>
  <si>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</si>
  <si>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</si>
  <si>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</si>
  <si>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</si>
  <si>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</si>
  <si>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</si>
  <si>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</si>
  <si>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</si>
  <si>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</si>
  <si>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</si>
  <si>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</si>
  <si>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</si>
  <si>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</si>
  <si>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</si>
  <si>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</si>
  <si>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</si>
  <si>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</si>
  <si>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</si>
  <si>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</si>
  <si>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</si>
  <si>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</si>
  <si>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</si>
  <si>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</si>
  <si>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</si>
  <si>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</si>
  <si>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</si>
  <si>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</si>
  <si>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</si>
  <si>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</si>
  <si>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</si>
  <si>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</si>
  <si>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</si>
  <si>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</si>
  <si>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</si>
  <si>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</si>
  <si>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</si>
  <si>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</si>
  <si>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</si>
  <si>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</si>
  <si>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</si>
  <si>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</si>
  <si>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</si>
  <si>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</si>
  <si>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</si>
  <si>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</si>
  <si>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</si>
  <si>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</si>
  <si>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</si>
  <si>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</si>
  <si>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</si>
  <si>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</si>
  <si>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</si>
  <si>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</si>
  <si>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</si>
  <si>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</si>
  <si>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</si>
  <si>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</si>
  <si>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</si>
  <si>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</si>
  <si>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</si>
  <si>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</si>
  <si>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</si>
  <si>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</si>
  <si>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</si>
  <si>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</si>
  <si>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</si>
  <si>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</si>
  <si>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</si>
  <si>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</si>
  <si>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</si>
  <si>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</si>
  <si>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</si>
  <si>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</si>
  <si>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</si>
  <si>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</si>
  <si>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</si>
  <si>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</si>
  <si>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</si>
  <si>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</si>
  <si>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</si>
  <si>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</si>
  <si>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</si>
  <si>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</si>
  <si>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</si>
  <si>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</si>
  <si>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</si>
  <si>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</si>
  <si>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</si>
  <si>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</si>
  <si>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</si>
  <si>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</si>
  <si>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</si>
  <si>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</si>
  <si>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</si>
  <si>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</si>
  <si>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</si>
  <si>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</si>
  <si>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</si>
  <si>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</si>
  <si>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</si>
  <si>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</si>
  <si>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</si>
  <si>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</si>
  <si>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</si>
  <si>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</si>
  <si>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</si>
  <si>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</si>
  <si>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</si>
  <si>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</si>
  <si>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</si>
  <si>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</si>
  <si>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</si>
  <si>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</si>
  <si>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</si>
  <si>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</si>
  <si>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</si>
  <si>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</si>
  <si>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</si>
  <si>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</si>
  <si>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</si>
  <si>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</si>
  <si>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</si>
  <si>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</si>
  <si>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</si>
  <si>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</si>
  <si>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</si>
  <si>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</si>
  <si>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</si>
  <si>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</si>
  <si>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</si>
  <si>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</si>
  <si>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</si>
  <si>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</si>
  <si>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</si>
  <si>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</si>
  <si>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</si>
  <si>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</si>
  <si>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</si>
  <si>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</si>
  <si>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</si>
  <si>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</si>
  <si>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</si>
  <si>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</si>
  <si>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</si>
  <si>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</si>
  <si>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</si>
  <si>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</si>
  <si>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</si>
  <si>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</si>
  <si>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</si>
  <si>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</si>
  <si>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</si>
  <si>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</si>
  <si>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</si>
  <si>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</si>
  <si>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</si>
  <si>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</si>
  <si>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</si>
  <si>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</si>
  <si>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</si>
  <si>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</si>
  <si>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</si>
  <si>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</si>
  <si>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</si>
  <si>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</si>
  <si>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</si>
  <si>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</si>
  <si>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</si>
  <si>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</si>
  <si>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</si>
  <si>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</si>
  <si>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</si>
  <si>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</si>
  <si>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</si>
  <si>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</si>
  <si>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</si>
  <si>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</si>
  <si>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</si>
  <si>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</si>
  <si>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</si>
  <si>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</si>
  <si>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</si>
  <si>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</si>
  <si>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</si>
  <si>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</si>
  <si>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</si>
  <si>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</si>
  <si>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</si>
  <si>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</si>
  <si>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</si>
  <si>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</si>
  <si>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</si>
  <si>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</si>
  <si>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</si>
  <si>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</si>
  <si>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</si>
  <si>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</si>
  <si>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</si>
  <si>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</si>
  <si>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</si>
  <si>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</si>
  <si>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</si>
  <si>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</si>
  <si>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</si>
  <si>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</si>
  <si>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</si>
  <si>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</si>
  <si>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</si>
  <si>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</si>
  <si>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</si>
  <si>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</si>
  <si>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</si>
  <si>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</si>
  <si>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</si>
  <si>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</si>
  <si>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</si>
  <si>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</si>
  <si>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</si>
  <si>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</si>
  <si>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</si>
  <si>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</si>
  <si>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</si>
  <si>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</si>
  <si>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</si>
  <si>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</si>
  <si>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</si>
  <si>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</si>
  <si>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</si>
  <si>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</si>
  <si>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</si>
  <si>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</si>
  <si>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</si>
  <si>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</si>
  <si>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</si>
  <si>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</si>
  <si>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</si>
  <si>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</si>
  <si>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</si>
  <si>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</si>
  <si>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</si>
  <si>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</si>
  <si>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</si>
  <si>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</si>
  <si>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</si>
  <si>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</si>
  <si>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</si>
  <si>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</si>
  <si>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</si>
  <si>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</si>
  <si>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</si>
  <si>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</si>
  <si>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</si>
  <si>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</si>
  <si>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</si>
  <si>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</si>
  <si>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</si>
  <si>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</si>
  <si>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</si>
  <si>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</si>
  <si>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</si>
  <si>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</si>
  <si>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</si>
  <si>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</si>
  <si>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</si>
  <si>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</si>
  <si>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</si>
  <si>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</si>
  <si>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</si>
  <si>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</si>
  <si>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</si>
  <si>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</si>
  <si>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</si>
  <si>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</si>
  <si>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</si>
  <si>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</si>
  <si>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</si>
  <si>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</si>
  <si>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</si>
  <si>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</si>
  <si>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</si>
  <si>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</si>
  <si>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</si>
  <si>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</si>
  <si>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</si>
  <si>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</si>
  <si>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</si>
  <si>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</si>
  <si>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</si>
  <si>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</si>
  <si>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</si>
  <si>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</si>
  <si>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</si>
  <si>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</si>
  <si>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</si>
  <si>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</si>
  <si>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</si>
  <si>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</si>
  <si>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</si>
  <si>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</si>
  <si>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</si>
  <si>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</si>
  <si>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</si>
  <si>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</si>
  <si>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</si>
  <si>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</si>
  <si>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</si>
  <si>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</si>
  <si>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</si>
  <si>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</si>
  <si>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</si>
  <si>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</si>
  <si>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</si>
  <si>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</si>
  <si>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</si>
  <si>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</si>
  <si>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</si>
  <si>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</si>
  <si>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</si>
  <si>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</si>
  <si>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</si>
  <si>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</si>
  <si>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</si>
  <si>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</si>
  <si>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</si>
  <si>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</si>
  <si>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</si>
  <si>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</si>
  <si>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</si>
  <si>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</si>
  <si>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</si>
  <si>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</si>
  <si>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</si>
  <si>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</si>
  <si>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</si>
  <si>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</si>
  <si>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</si>
  <si>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</si>
  <si>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</si>
  <si>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</si>
  <si>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</si>
  <si>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</si>
  <si>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</si>
  <si>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</si>
  <si>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</si>
  <si>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</si>
  <si>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</si>
  <si>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</si>
  <si>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</si>
  <si>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</si>
  <si>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</si>
  <si>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</si>
  <si>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</si>
  <si>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</si>
  <si>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</si>
  <si>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</si>
  <si>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</si>
  <si>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</si>
  <si>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</si>
  <si>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</si>
  <si>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</si>
  <si>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</si>
  <si>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</si>
  <si>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</si>
  <si>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</si>
  <si>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</si>
  <si>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</si>
  <si>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</si>
  <si>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</si>
  <si>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</si>
  <si>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</si>
  <si>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</si>
  <si>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</si>
  <si>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</si>
  <si>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</si>
  <si>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</si>
  <si>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</si>
  <si>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</si>
  <si>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</si>
  <si>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</si>
  <si>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</si>
  <si>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</si>
  <si>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</si>
  <si>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</si>
  <si>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</si>
  <si>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</si>
  <si>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</si>
  <si>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</si>
  <si>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</si>
  <si>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</si>
  <si>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</si>
  <si>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</si>
  <si>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</si>
  <si>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</si>
  <si>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</si>
  <si>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</si>
  <si>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</si>
  <si>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</si>
  <si>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</si>
  <si>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</si>
  <si>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</si>
  <si>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</si>
  <si>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</si>
  <si>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</si>
  <si>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</si>
  <si>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</si>
  <si>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</si>
  <si>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</si>
  <si>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</si>
  <si>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</si>
  <si>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</si>
  <si>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</si>
  <si>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</si>
  <si>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</si>
  <si>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</si>
  <si>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</si>
  <si>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</si>
  <si>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</si>
  <si>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</si>
  <si>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</si>
  <si>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</si>
  <si>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</si>
  <si>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</si>
  <si>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</si>
  <si>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</si>
  <si>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</si>
  <si>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</si>
  <si>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</si>
  <si>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</si>
  <si>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</si>
  <si>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</si>
  <si>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</si>
  <si>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</si>
  <si>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</si>
  <si>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</si>
  <si>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</si>
  <si>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</si>
  <si>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</si>
  <si>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</si>
  <si>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</si>
  <si>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</si>
  <si>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</si>
  <si>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</si>
  <si>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</si>
  <si>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</si>
  <si>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</si>
  <si>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</si>
  <si>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</si>
  <si>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</si>
  <si>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</si>
  <si>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</si>
  <si>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</si>
  <si>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</si>
  <si>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</si>
  <si>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</si>
  <si>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</si>
  <si>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</si>
  <si>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</si>
  <si>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</si>
  <si>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</si>
  <si>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</si>
  <si>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</si>
  <si>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</si>
  <si>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</si>
  <si>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</si>
  <si>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</si>
  <si>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</si>
  <si>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</si>
  <si>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</si>
  <si>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</si>
  <si>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</si>
  <si>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</si>
  <si>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</si>
  <si>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</si>
  <si>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</si>
  <si>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</si>
  <si>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</si>
  <si>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</si>
  <si>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</si>
  <si>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</si>
  <si>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</si>
  <si>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</si>
  <si>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</si>
  <si>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</si>
  <si>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</si>
  <si>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</si>
  <si>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</si>
  <si>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</si>
  <si>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</si>
  <si>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</si>
  <si>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</si>
  <si>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</si>
  <si>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</si>
  <si>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</si>
  <si>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</si>
  <si>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</si>
  <si>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</si>
  <si>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</si>
  <si>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</si>
  <si>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</si>
  <si>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</si>
  <si>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</si>
  <si>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</si>
  <si>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</si>
  <si>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</si>
  <si>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</si>
  <si>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</si>
  <si>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</si>
  <si>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</si>
  <si>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</si>
  <si>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</si>
  <si>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</si>
  <si>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</si>
  <si>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</si>
  <si>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</si>
  <si>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</si>
  <si>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</si>
  <si>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</si>
  <si>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</si>
  <si>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</si>
  <si>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</si>
  <si>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</si>
  <si>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</si>
  <si>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</si>
  <si>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</si>
  <si>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</si>
  <si>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</si>
  <si>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</si>
  <si>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</si>
  <si>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</si>
  <si>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</si>
  <si>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</si>
  <si>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</si>
  <si>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</si>
  <si>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</si>
  <si>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</si>
  <si>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</si>
  <si>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</si>
  <si>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</si>
  <si>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</si>
  <si>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</si>
  <si>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</si>
  <si>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</si>
  <si>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</si>
  <si>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</si>
  <si>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</si>
  <si>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</si>
  <si>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</si>
  <si>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</si>
  <si>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</si>
  <si>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</si>
  <si>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</si>
  <si>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</si>
  <si>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</si>
  <si>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</si>
  <si>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</si>
  <si>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</si>
  <si>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</si>
  <si>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</si>
  <si>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</si>
  <si>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</si>
  <si>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</si>
  <si>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</si>
  <si>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</si>
  <si>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</si>
  <si>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</si>
  <si>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</si>
  <si>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</si>
  <si>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</si>
  <si>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</si>
  <si>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</si>
  <si>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</si>
  <si>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</si>
  <si>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</si>
  <si>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</si>
  <si>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</si>
  <si>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</si>
  <si>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</si>
  <si>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</si>
  <si>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</si>
  <si>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</si>
  <si>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</si>
  <si>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</si>
  <si>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</si>
  <si>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</si>
  <si>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</si>
  <si>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</si>
  <si>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</si>
  <si>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</si>
  <si>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</si>
  <si>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</si>
  <si>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</si>
  <si>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</si>
  <si>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</si>
  <si>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</si>
  <si>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</si>
  <si>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</si>
  <si>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</si>
  <si>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</si>
  <si>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</si>
  <si>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</si>
  <si>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</si>
  <si>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</si>
  <si>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</si>
  <si>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</si>
  <si>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</si>
  <si>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</si>
  <si>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</si>
  <si>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</si>
  <si>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</si>
  <si>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</si>
  <si>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</si>
  <si>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</si>
  <si>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</si>
  <si>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</si>
  <si>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</si>
  <si>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</si>
  <si>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</si>
  <si>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</si>
  <si>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</si>
  <si>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</si>
  <si>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</si>
  <si>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</si>
  <si>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</si>
  <si>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</si>
  <si>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</si>
  <si>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</si>
  <si>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</si>
  <si>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</si>
  <si>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</si>
  <si>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</si>
  <si>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</si>
  <si>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</si>
  <si>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</si>
  <si>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</si>
  <si>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</si>
  <si>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</si>
  <si>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</si>
  <si>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</si>
  <si>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</si>
  <si>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</si>
  <si>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</si>
  <si>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</si>
  <si>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</si>
  <si>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</si>
  <si>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</si>
  <si>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</si>
  <si>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</si>
  <si>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</si>
  <si>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</si>
  <si>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</si>
  <si>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</si>
  <si>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</si>
  <si>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</si>
  <si>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</si>
  <si>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</si>
  <si>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</si>
  <si>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</si>
  <si>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</si>
  <si>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</si>
  <si>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</si>
  <si>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</si>
  <si>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</si>
  <si>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</si>
  <si>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</si>
  <si>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</si>
  <si>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</si>
  <si>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</si>
  <si>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</si>
  <si>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</si>
  <si>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</si>
  <si>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</si>
  <si>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</si>
  <si>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</si>
  <si>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</si>
  <si>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</si>
  <si>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</si>
  <si>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</si>
  <si>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</si>
  <si>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</si>
  <si>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</si>
  <si>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</si>
  <si>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</si>
  <si>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</si>
  <si>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</si>
  <si>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</si>
  <si>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</si>
  <si>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</si>
  <si>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</si>
  <si>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</si>
  <si>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</si>
  <si>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</si>
  <si>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</si>
  <si>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</si>
  <si>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</si>
  <si>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</si>
  <si>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</si>
  <si>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</si>
  <si>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</si>
  <si>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</si>
  <si>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</si>
  <si>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</si>
  <si>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</si>
  <si>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</si>
  <si>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</si>
  <si>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</si>
  <si>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</si>
  <si>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</si>
  <si>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</si>
  <si>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</si>
  <si>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</si>
  <si>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</si>
  <si>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</si>
  <si>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</si>
  <si>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</si>
  <si>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</si>
  <si>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</si>
  <si>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</si>
  <si>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</si>
  <si>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</si>
  <si>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</si>
  <si>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</si>
  <si>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</si>
  <si>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</si>
  <si>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</si>
  <si>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</si>
  <si>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</si>
  <si>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</si>
  <si>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</si>
  <si>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</si>
  <si>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</si>
  <si>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</si>
  <si>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</si>
  <si>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</si>
  <si>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</si>
  <si>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</si>
  <si>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</si>
  <si>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</si>
  <si>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</si>
  <si>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</si>
  <si>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</si>
  <si>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</si>
  <si>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</si>
  <si>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</si>
  <si>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</si>
  <si>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</si>
  <si>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</si>
  <si>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</si>
  <si>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</si>
  <si>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</si>
  <si>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</si>
  <si>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</si>
  <si>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</si>
  <si>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</si>
  <si>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</si>
  <si>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</si>
  <si>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</si>
  <si>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</si>
  <si>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</si>
  <si>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</si>
  <si>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</si>
  <si>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</si>
  <si>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</si>
  <si>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</si>
  <si>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</si>
  <si>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</si>
  <si>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</si>
  <si>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</si>
  <si>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</si>
  <si>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</si>
  <si>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</si>
  <si>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</si>
  <si>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</si>
  <si>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</si>
  <si>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</si>
  <si>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</si>
  <si>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</si>
  <si>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</si>
  <si>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</si>
  <si>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</si>
  <si>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</si>
  <si>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</si>
  <si>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</si>
  <si>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</si>
  <si>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</si>
  <si>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</si>
  <si>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</si>
  <si>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</si>
  <si>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</si>
  <si>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</si>
  <si>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</si>
  <si>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</si>
  <si>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</si>
  <si>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</si>
  <si>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</si>
  <si>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</si>
  <si>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</si>
  <si>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</si>
  <si>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</si>
  <si>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</si>
  <si>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</si>
  <si>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</si>
  <si>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</si>
  <si>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</si>
  <si>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</si>
  <si>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</si>
  <si>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</si>
  <si>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</si>
  <si>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</si>
  <si>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</si>
  <si>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</si>
  <si>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</si>
  <si>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</si>
  <si>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</si>
  <si>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</si>
  <si>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</si>
  <si>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</si>
  <si>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</si>
  <si>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</si>
  <si>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</si>
  <si>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</si>
  <si>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</si>
  <si>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</si>
  <si>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</si>
  <si>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</si>
  <si>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</si>
  <si>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</si>
  <si>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</si>
  <si>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</si>
  <si>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</si>
  <si>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</si>
  <si>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</si>
  <si>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</si>
  <si>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</si>
  <si>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</si>
  <si>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</si>
  <si>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</si>
  <si>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</si>
  <si>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</si>
  <si>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</si>
  <si>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</si>
  <si>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</si>
  <si>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</si>
  <si>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</si>
  <si>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</si>
  <si>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</si>
  <si>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</si>
  <si>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</si>
  <si>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</si>
  <si>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</si>
  <si>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</si>
  <si>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</si>
  <si>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</si>
  <si>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</si>
  <si>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</si>
  <si>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</si>
  <si>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</si>
  <si>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</si>
  <si>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</si>
  <si>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</si>
  <si>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</si>
  <si>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</si>
  <si>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</si>
  <si>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</si>
  <si>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</si>
  <si>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</si>
  <si>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</si>
  <si>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</si>
  <si>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</si>
  <si>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</si>
  <si>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</si>
  <si>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</si>
  <si>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</si>
  <si>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</si>
  <si>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</si>
  <si>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</si>
  <si>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</si>
  <si>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</si>
  <si>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</si>
  <si>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</si>
  <si>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</si>
  <si>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</si>
  <si>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</si>
  <si>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</si>
  <si>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</si>
  <si>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</si>
  <si>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</si>
  <si>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</si>
  <si>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</si>
  <si>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</si>
  <si>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</si>
  <si>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</si>
  <si>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</si>
  <si>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</si>
  <si>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</si>
  <si>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</si>
  <si>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</si>
  <si>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</si>
  <si>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</si>
  <si>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</si>
  <si>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</si>
  <si>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</si>
  <si>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</si>
  <si>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</si>
  <si>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</si>
  <si>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</si>
  <si>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</si>
  <si>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</si>
  <si>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</si>
  <si>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</si>
  <si>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</si>
  <si>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</si>
  <si>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</si>
  <si>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</si>
  <si>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</si>
  <si>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</si>
  <si>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</si>
  <si>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</si>
  <si>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</si>
  <si>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</si>
  <si>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</si>
  <si>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</si>
  <si>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</si>
  <si>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</si>
  <si>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</si>
  <si>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</si>
  <si>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</si>
  <si>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</si>
  <si>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</si>
  <si>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</si>
  <si>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</si>
  <si>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</si>
  <si>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</si>
  <si>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</si>
  <si>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</si>
  <si>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</si>
  <si>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</si>
  <si>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</si>
  <si>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</si>
  <si>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</si>
  <si>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</si>
  <si>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</si>
  <si>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</si>
  <si>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</si>
  <si>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</si>
  <si>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</si>
  <si>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</si>
  <si>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</si>
  <si>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</si>
  <si>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</si>
  <si>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</si>
  <si>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</si>
  <si>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</si>
  <si>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</si>
  <si>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</si>
  <si>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</si>
  <si>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</si>
  <si>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</si>
  <si>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</si>
  <si>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</si>
  <si>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</si>
  <si>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</si>
  <si>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</si>
  <si>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</si>
  <si>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</si>
  <si>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</si>
  <si>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</si>
  <si>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</si>
  <si>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</si>
  <si>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</si>
  <si>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</si>
  <si>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</si>
  <si>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</si>
  <si>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</si>
  <si>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</si>
  <si>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</si>
  <si>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</si>
  <si>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</si>
  <si>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</si>
  <si>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</si>
  <si>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</si>
  <si>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</si>
  <si>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</si>
  <si>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</si>
  <si>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</si>
  <si>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</si>
  <si>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</si>
  <si>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</si>
  <si>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</si>
  <si>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</si>
  <si>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</si>
  <si>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</si>
  <si>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</si>
  <si>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</si>
  <si>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</si>
  <si>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</si>
  <si>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</si>
  <si>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</si>
  <si>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</si>
  <si>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</si>
  <si>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</si>
  <si>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</si>
  <si>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</si>
  <si>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</si>
  <si>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</si>
  <si>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</si>
  <si>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</si>
  <si>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</si>
  <si>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</si>
  <si>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</si>
  <si>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</si>
  <si>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</si>
  <si>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</si>
  <si>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</si>
  <si>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</si>
  <si>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</si>
  <si>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</si>
  <si>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</si>
  <si>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</si>
  <si>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</si>
  <si>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</si>
  <si>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</si>
  <si>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</si>
  <si>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</si>
  <si>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</si>
  <si>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</si>
  <si>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</si>
  <si>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</si>
  <si>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</si>
  <si>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</si>
  <si>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</si>
  <si>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</si>
  <si>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</si>
  <si>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</si>
  <si>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</si>
  <si>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</si>
  <si>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</si>
  <si>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</si>
  <si>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</si>
  <si>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</si>
  <si>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</si>
  <si>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</si>
  <si>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</si>
  <si>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</si>
  <si>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</si>
  <si>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</si>
  <si>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</si>
  <si>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</si>
  <si>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</si>
  <si>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</si>
  <si>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</si>
  <si>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</si>
  <si>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</si>
  <si>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</si>
  <si>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</si>
  <si>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</si>
  <si>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</si>
  <si>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</si>
  <si>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</si>
  <si>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</si>
  <si>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</si>
  <si>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</si>
  <si>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</si>
  <si>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</si>
  <si>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</si>
  <si>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</si>
  <si>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</si>
  <si>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</si>
  <si>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</si>
  <si>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</si>
  <si>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</si>
  <si>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</si>
  <si>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</si>
  <si>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</si>
  <si>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</si>
  <si>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</si>
  <si>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</si>
  <si>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</si>
  <si>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</si>
  <si>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</si>
  <si>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</si>
  <si>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</si>
  <si>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</si>
  <si>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</si>
  <si>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</si>
  <si>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</si>
  <si>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</si>
  <si>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</si>
  <si>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</si>
  <si>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</si>
  <si>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</si>
  <si>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</si>
  <si>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</si>
  <si>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</si>
  <si>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</si>
  <si>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</si>
  <si>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</si>
  <si>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</si>
  <si>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</si>
  <si>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</si>
  <si>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</si>
  <si>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</si>
  <si>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</si>
  <si>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</si>
  <si>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</si>
  <si>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</si>
  <si>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</si>
  <si>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</si>
  <si>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</si>
  <si>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</si>
  <si>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</si>
  <si>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</si>
  <si>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</si>
  <si>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</si>
  <si>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</si>
  <si>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</si>
  <si>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</si>
  <si>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</si>
  <si>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</si>
  <si>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</si>
  <si>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</si>
  <si>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</si>
  <si>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</si>
  <si>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</si>
  <si>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</si>
  <si>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</si>
  <si>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</si>
  <si>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</si>
  <si>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</si>
  <si>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</si>
  <si>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</si>
  <si>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</si>
  <si>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</si>
  <si>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</si>
  <si>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</si>
  <si>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</si>
  <si>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</si>
  <si>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</si>
  <si>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</si>
  <si>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</si>
  <si>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</si>
  <si>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</si>
  <si>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</si>
  <si>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</si>
  <si>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</si>
  <si>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</si>
  <si>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</si>
  <si>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</si>
  <si>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</si>
  <si>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</si>
  <si>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</si>
  <si>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</si>
  <si>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</si>
  <si>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</si>
  <si>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</si>
  <si>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</si>
  <si>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</si>
  <si>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</si>
  <si>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</si>
  <si>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</si>
  <si>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</si>
  <si>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</si>
  <si>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</si>
  <si>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</si>
  <si>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</si>
  <si>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</si>
  <si>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</si>
  <si>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</si>
  <si>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</si>
  <si>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</si>
  <si>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</si>
  <si>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</si>
  <si>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</si>
  <si>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</si>
  <si>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</si>
  <si>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</si>
  <si>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</si>
  <si>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</si>
  <si>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</si>
  <si>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</si>
  <si>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</si>
  <si>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</si>
  <si>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</si>
  <si>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</si>
  <si>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</si>
  <si>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</si>
  <si>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</si>
  <si>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</si>
  <si>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</si>
  <si>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</si>
  <si>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</si>
  <si>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</si>
  <si>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</si>
  <si>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</si>
  <si>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</si>
  <si>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</si>
  <si>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</si>
  <si>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</si>
  <si>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</si>
  <si>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</si>
  <si>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</si>
  <si>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</si>
  <si>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</si>
  <si>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</si>
  <si>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</si>
  <si>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</si>
  <si>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</si>
  <si>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</si>
  <si>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</si>
  <si>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</si>
  <si>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</si>
  <si>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</si>
  <si>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</si>
  <si>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</si>
  <si>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</si>
  <si>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</si>
  <si>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</si>
  <si>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</si>
  <si>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</si>
  <si>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</si>
  <si>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</si>
  <si>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</si>
  <si>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</si>
  <si>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</si>
  <si>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</si>
  <si>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</si>
  <si>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</si>
  <si>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</si>
  <si>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</si>
  <si>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</si>
  <si>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</si>
  <si>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</si>
  <si>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</si>
  <si>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</si>
  <si>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</si>
  <si>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</si>
  <si>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</si>
  <si>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</si>
  <si>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</si>
  <si>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</si>
  <si>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</si>
  <si>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</si>
  <si>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</si>
  <si>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</si>
  <si>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</si>
  <si>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</si>
  <si>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</si>
  <si>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</si>
  <si>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</si>
  <si>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</si>
  <si>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</si>
  <si>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</si>
  <si>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</si>
  <si>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</si>
  <si>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</si>
  <si>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</si>
  <si>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</si>
  <si>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</si>
  <si>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</si>
  <si>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</si>
  <si>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</si>
  <si>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</si>
  <si>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</si>
  <si>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</si>
  <si>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</si>
  <si>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</si>
  <si>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</si>
  <si>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</si>
  <si>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</si>
  <si>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</si>
  <si>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</si>
  <si>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</si>
  <si>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</si>
  <si>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</si>
  <si>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</si>
  <si>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</si>
  <si>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</si>
  <si>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</si>
  <si>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</si>
  <si>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</si>
  <si>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</si>
  <si>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</si>
  <si>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</si>
  <si>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</si>
  <si>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</si>
  <si>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</si>
  <si>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</si>
  <si>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</si>
  <si>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</si>
  <si>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</si>
  <si>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</si>
  <si>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</si>
  <si>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</si>
  <si>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</si>
  <si>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</si>
  <si>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</si>
  <si>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</si>
  <si>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</si>
  <si>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</si>
  <si>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</si>
  <si>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</si>
  <si>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</si>
  <si>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</si>
  <si>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</si>
  <si>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</si>
  <si>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</si>
  <si>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</si>
  <si>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</si>
  <si>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</si>
  <si>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</si>
  <si>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</si>
  <si>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</si>
  <si>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</si>
  <si>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</si>
  <si>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</si>
  <si>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</si>
  <si>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</si>
  <si>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</si>
  <si>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</si>
  <si>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</si>
  <si>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</si>
  <si>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</si>
  <si>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</si>
  <si>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</si>
  <si>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</si>
  <si>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</si>
  <si>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</si>
  <si>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</si>
  <si>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</si>
  <si>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</si>
  <si>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</si>
  <si>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</si>
  <si>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</si>
  <si>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</si>
  <si>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</si>
  <si>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</si>
  <si>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</si>
  <si>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</si>
  <si>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</si>
  <si>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</si>
  <si>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</si>
  <si>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</si>
  <si>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</si>
  <si>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</si>
  <si>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</si>
  <si>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</si>
  <si>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</si>
  <si>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</si>
  <si>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</si>
  <si>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</si>
  <si>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</si>
  <si>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</si>
  <si>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</si>
  <si>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</si>
  <si>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</si>
  <si>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</si>
  <si>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</si>
  <si>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</si>
  <si>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</si>
  <si>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</si>
  <si>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</si>
  <si>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</si>
  <si>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</si>
  <si>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</si>
  <si>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</si>
  <si>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</si>
  <si>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</si>
  <si>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</si>
  <si>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</si>
  <si>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</si>
  <si>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</si>
  <si>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</si>
  <si>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</si>
  <si>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</si>
  <si>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</si>
  <si>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</si>
  <si>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</si>
  <si>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</si>
  <si>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</si>
  <si>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</si>
  <si>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</si>
  <si>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</si>
  <si>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</si>
  <si>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</si>
  <si>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</si>
  <si>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</si>
  <si>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</si>
  <si>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</si>
  <si>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</si>
  <si>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</si>
  <si>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</si>
  <si>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</si>
  <si>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</si>
  <si>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</si>
  <si>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</si>
  <si>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</si>
  <si>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</si>
  <si>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</si>
  <si>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</si>
  <si>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</si>
  <si>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</si>
  <si>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</si>
  <si>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</si>
  <si>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</si>
  <si>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</si>
  <si>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</si>
  <si>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</si>
  <si>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</si>
  <si>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</si>
  <si>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</si>
  <si>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</si>
  <si>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</si>
  <si>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</si>
  <si>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</si>
  <si>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</si>
  <si>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</si>
  <si>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</si>
  <si>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</si>
  <si>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</si>
  <si>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</si>
  <si>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</si>
  <si>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</si>
  <si>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</si>
  <si>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</si>
  <si>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</si>
  <si>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</si>
  <si>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</si>
  <si>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</si>
  <si>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</si>
  <si>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</si>
  <si>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</si>
  <si>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</si>
  <si>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</si>
  <si>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</si>
  <si>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</si>
  <si>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</si>
  <si>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</si>
  <si>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</si>
  <si>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</si>
  <si>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</si>
  <si>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</si>
  <si>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</si>
  <si>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</si>
  <si>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</si>
  <si>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</si>
  <si>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</si>
  <si>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</si>
  <si>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</si>
  <si>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</si>
  <si>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</si>
  <si>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</si>
  <si>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</si>
  <si>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</si>
  <si>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</si>
  <si>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</si>
  <si>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</si>
  <si>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</si>
  <si>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</si>
  <si>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</si>
  <si>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</si>
  <si>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</si>
  <si>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</si>
  <si>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</si>
  <si>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</si>
  <si>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</si>
  <si>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</si>
  <si>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</si>
  <si>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</si>
  <si>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</si>
  <si>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</si>
  <si>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</si>
  <si>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</si>
  <si>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</si>
  <si>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</si>
  <si>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</si>
  <si>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</si>
  <si>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</si>
  <si>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</si>
  <si>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</si>
  <si>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</si>
  <si>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</si>
  <si>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</si>
  <si>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</si>
  <si>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</si>
  <si>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</si>
  <si>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</si>
  <si>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</si>
  <si>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</si>
  <si>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</si>
  <si>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</si>
  <si>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</si>
  <si>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</si>
  <si>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</si>
  <si>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</si>
  <si>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</si>
  <si>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</si>
  <si>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</si>
  <si>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</si>
  <si>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</si>
  <si>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</si>
  <si>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</si>
  <si>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</si>
  <si>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</si>
  <si>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</si>
  <si>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</si>
  <si>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</si>
  <si>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</si>
  <si>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</si>
  <si>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</si>
  <si>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</si>
  <si>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</si>
  <si>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</si>
  <si>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</si>
  <si>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</si>
  <si>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</si>
  <si>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</si>
  <si>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</si>
  <si>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</si>
  <si>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</si>
  <si>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</si>
  <si>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</si>
  <si>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</si>
  <si>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</si>
  <si>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</si>
  <si>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</si>
  <si>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</si>
  <si>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</si>
  <si>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</si>
  <si>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</si>
  <si>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</si>
  <si>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</si>
  <si>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</si>
  <si>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</si>
  <si>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</si>
  <si>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</si>
  <si>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</si>
  <si>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</si>
  <si>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</si>
  <si>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</si>
  <si>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</si>
  <si>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</si>
  <si>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</si>
  <si>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</si>
  <si>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</si>
  <si>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</si>
  <si>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</si>
  <si>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</si>
  <si>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</si>
  <si>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</si>
  <si>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</si>
  <si>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</si>
  <si>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</si>
  <si>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</si>
  <si>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</si>
  <si>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</si>
  <si>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</si>
  <si>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</si>
  <si>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</si>
  <si>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</si>
  <si>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</si>
  <si>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</si>
  <si>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</si>
  <si>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</si>
  <si>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</si>
  <si>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</si>
  <si>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</si>
  <si>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</si>
  <si>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</si>
  <si>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</si>
  <si>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</si>
  <si>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</si>
  <si>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</si>
  <si>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</si>
  <si>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</si>
  <si>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</si>
  <si>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</si>
  <si>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</si>
  <si>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</si>
  <si>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</si>
  <si>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</si>
  <si>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</si>
  <si>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</si>
  <si>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</si>
  <si>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</si>
  <si>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</si>
  <si>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</si>
  <si>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</si>
  <si>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</si>
  <si>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</si>
  <si>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</si>
  <si>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</si>
  <si>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</si>
  <si>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</si>
  <si>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</si>
  <si>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</si>
  <si>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</si>
  <si>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</si>
  <si>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</si>
  <si>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</si>
  <si>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</si>
  <si>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</si>
  <si>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</si>
  <si>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</si>
  <si>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</si>
  <si>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</si>
  <si>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</si>
  <si>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</si>
  <si>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</si>
  <si>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</si>
  <si>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</si>
  <si>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</si>
  <si>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</si>
  <si>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</si>
  <si>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</si>
  <si>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</si>
  <si>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</si>
  <si>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</si>
  <si>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</si>
  <si>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</si>
  <si>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</si>
  <si>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</si>
  <si>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</si>
  <si>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</si>
  <si>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</si>
  <si>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</si>
  <si>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</si>
  <si>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</si>
  <si>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</si>
  <si>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</si>
  <si>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</si>
  <si>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</si>
  <si>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</si>
  <si>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</si>
  <si>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</si>
  <si>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</si>
  <si>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</si>
  <si>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</si>
  <si>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</si>
  <si>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</si>
  <si>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</si>
  <si>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</si>
  <si>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</si>
  <si>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</si>
  <si>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</si>
  <si>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</si>
  <si>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</si>
  <si>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</si>
  <si>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</si>
  <si>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</si>
  <si>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</si>
  <si>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</si>
  <si>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</si>
  <si>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</si>
  <si>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</si>
  <si>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</si>
  <si>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</si>
  <si>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</si>
  <si>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</si>
  <si>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</si>
  <si>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</si>
  <si>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</si>
  <si>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</si>
  <si>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</si>
  <si>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</si>
  <si>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</si>
  <si>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</si>
  <si>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</si>
  <si>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</si>
  <si>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</si>
  <si>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</si>
  <si>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</si>
  <si>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</si>
  <si>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</si>
  <si>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</si>
  <si>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</si>
  <si>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</si>
  <si>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</si>
  <si>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</si>
  <si>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</si>
  <si>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</si>
  <si>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</si>
  <si>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</si>
  <si>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</si>
  <si>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</si>
  <si>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</si>
  <si>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</si>
  <si>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</si>
  <si>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</si>
  <si>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</si>
  <si>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</si>
  <si>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</si>
  <si>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</si>
  <si>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</si>
  <si>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</si>
  <si>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</si>
  <si>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</si>
  <si>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</si>
  <si>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</si>
  <si>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</si>
  <si>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</si>
  <si>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</si>
  <si>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</si>
  <si>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</si>
  <si>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</si>
  <si>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</si>
  <si>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</si>
  <si>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</si>
  <si>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</si>
  <si>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</si>
  <si>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</si>
  <si>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</si>
  <si>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</si>
  <si>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</si>
  <si>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</si>
  <si>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</si>
  <si>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</si>
  <si>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</si>
  <si>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</si>
  <si>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</si>
  <si>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</si>
  <si>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</si>
  <si>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</si>
  <si>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</si>
  <si>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</si>
  <si>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</si>
  <si>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</si>
  <si>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</si>
  <si>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</si>
  <si>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</si>
  <si>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</si>
  <si>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</si>
  <si>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</si>
  <si>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</si>
  <si>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</si>
  <si>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</si>
  <si>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</si>
  <si>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</si>
  <si>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</si>
  <si>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</si>
  <si>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</si>
  <si>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</si>
  <si>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</si>
  <si>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</si>
  <si>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</si>
  <si>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</si>
  <si>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</si>
  <si>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</si>
  <si>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</si>
  <si>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</si>
  <si>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</si>
  <si>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</si>
  <si>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</si>
  <si>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</si>
  <si>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</si>
  <si>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</si>
  <si>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</si>
  <si>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</si>
  <si>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</si>
  <si>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</si>
  <si>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</si>
  <si>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</si>
  <si>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</si>
  <si>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</si>
  <si>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</si>
  <si>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</si>
  <si>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</si>
  <si>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</si>
  <si>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</si>
  <si>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</si>
  <si>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</si>
  <si>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</si>
  <si>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</si>
  <si>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</si>
  <si>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</si>
  <si>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</si>
  <si>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</si>
  <si>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</si>
  <si>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</si>
  <si>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</si>
  <si>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</si>
  <si>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</si>
  <si>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</si>
  <si>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</si>
  <si>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</si>
  <si>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</si>
  <si>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</si>
  <si>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</si>
  <si>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</si>
  <si>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</si>
  <si>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</si>
  <si>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</si>
  <si>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</si>
  <si>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</si>
  <si>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</si>
  <si>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</si>
  <si>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</si>
  <si>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</si>
  <si>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</si>
  <si>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</si>
  <si>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</si>
  <si>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</si>
  <si>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</si>
  <si>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</si>
  <si>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</si>
  <si>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</si>
  <si>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</si>
  <si>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</si>
  <si>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</si>
  <si>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</si>
  <si>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</si>
  <si>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</si>
  <si>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</si>
  <si>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</si>
  <si>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</si>
  <si>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</si>
  <si>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</si>
  <si>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</si>
  <si>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</si>
  <si>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</si>
  <si>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</si>
  <si>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</si>
  <si>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</si>
  <si>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</si>
  <si>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</si>
  <si>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</si>
  <si>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</si>
  <si>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</si>
  <si>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</si>
  <si>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</si>
  <si>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</si>
  <si>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</si>
  <si>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</si>
  <si>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</si>
  <si>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</si>
  <si>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</si>
  <si>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</si>
  <si>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</si>
  <si>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</si>
  <si>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</si>
  <si>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</si>
  <si>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</si>
  <si>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</si>
  <si>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</si>
  <si>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</si>
  <si>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</si>
  <si>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</si>
  <si>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</si>
  <si>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</si>
  <si>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</si>
  <si>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</si>
  <si>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</si>
  <si>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</si>
  <si>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</si>
  <si>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</si>
  <si>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</si>
  <si>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</si>
  <si>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</si>
  <si>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</si>
  <si>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</si>
  <si>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</si>
  <si>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</si>
  <si>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</si>
  <si>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</si>
  <si>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</si>
  <si>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</si>
  <si>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</si>
  <si>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</si>
  <si>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</si>
  <si>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</si>
  <si>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</si>
  <si>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</si>
  <si>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</si>
  <si>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</si>
  <si>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</si>
  <si>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</si>
  <si>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</si>
  <si>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</si>
  <si>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</si>
  <si>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</si>
  <si>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</si>
  <si>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</si>
  <si>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</si>
  <si>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</si>
  <si>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</si>
  <si>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</si>
  <si>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</si>
  <si>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</si>
  <si>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</si>
  <si>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</si>
  <si>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</si>
  <si>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</si>
  <si>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</si>
  <si>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</si>
  <si>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</si>
  <si>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</si>
  <si>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</si>
  <si>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</si>
  <si>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</si>
  <si>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</si>
  <si>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</si>
  <si>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</si>
  <si>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</si>
  <si>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</si>
  <si>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</si>
  <si>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</si>
  <si>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</si>
  <si>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</si>
  <si>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</si>
  <si>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</si>
  <si>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</si>
  <si>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</si>
  <si>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</si>
  <si>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</si>
  <si>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</si>
  <si>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</si>
  <si>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</si>
  <si>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</si>
  <si>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</si>
  <si>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</si>
  <si>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</si>
  <si>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</si>
  <si>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</si>
  <si>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</si>
  <si>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</si>
  <si>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</si>
  <si>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</si>
  <si>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</si>
  <si>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</si>
  <si>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</si>
  <si>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</si>
  <si>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</si>
  <si>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</si>
  <si>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</si>
  <si>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</si>
  <si>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</si>
  <si>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</si>
  <si>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</si>
  <si>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</si>
  <si>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</si>
  <si>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</si>
  <si>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</si>
  <si>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</si>
  <si>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</si>
  <si>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</si>
  <si>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</si>
  <si>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</si>
  <si>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</si>
  <si>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</si>
  <si>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</si>
  <si>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</si>
  <si>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</si>
  <si>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</si>
  <si>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</si>
  <si>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</si>
  <si>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</si>
  <si>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</si>
  <si>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</si>
  <si>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</si>
  <si>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</si>
  <si>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</si>
  <si>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</si>
  <si>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</si>
  <si>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</si>
  <si>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</si>
  <si>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</si>
  <si>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</si>
  <si>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</si>
  <si>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</si>
  <si>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</si>
  <si>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</si>
  <si>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</si>
  <si>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</si>
  <si>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</si>
  <si>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</si>
  <si>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</si>
  <si>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</si>
  <si>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</si>
  <si>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</si>
  <si>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</si>
  <si>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</si>
  <si>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</si>
  <si>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</si>
  <si>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</si>
  <si>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</si>
  <si>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</si>
  <si>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</si>
  <si>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</si>
  <si>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</si>
  <si>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</si>
  <si>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</si>
  <si>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</si>
  <si>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</si>
  <si>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</si>
  <si>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</si>
  <si>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</si>
  <si>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</si>
  <si>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</si>
  <si>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</si>
  <si>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</si>
  <si>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</si>
  <si>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</si>
  <si>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</si>
  <si>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</si>
  <si>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</si>
  <si>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</si>
  <si>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</si>
  <si>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</si>
  <si>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</si>
  <si>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</si>
  <si>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</si>
  <si>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</si>
  <si>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</si>
  <si>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</si>
  <si>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</si>
  <si>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</si>
  <si>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</si>
  <si>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</si>
  <si>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</si>
  <si>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</si>
  <si>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</si>
  <si>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</si>
  <si>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</si>
  <si>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</si>
  <si>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</si>
  <si>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</si>
  <si>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</si>
  <si>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</si>
  <si>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</si>
  <si>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</si>
  <si>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</si>
  <si>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</si>
  <si>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</si>
  <si>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</si>
  <si>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</si>
  <si>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</si>
  <si>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</si>
  <si>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</si>
  <si>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</si>
  <si>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</si>
  <si>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</si>
  <si>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</si>
  <si>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</si>
  <si>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</si>
  <si>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</si>
  <si>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</si>
  <si>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</si>
  <si>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</si>
  <si>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</si>
  <si>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</si>
  <si>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</si>
  <si>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</si>
  <si>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</si>
  <si>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</si>
  <si>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</si>
  <si>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</si>
  <si>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</si>
  <si>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</si>
  <si>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</si>
  <si>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</si>
  <si>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</si>
  <si>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</si>
  <si>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</si>
  <si>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</si>
  <si>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</si>
  <si>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</si>
  <si>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</si>
  <si>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</si>
  <si>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</si>
  <si>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</si>
  <si>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</si>
  <si>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</si>
  <si>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</si>
  <si>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</si>
  <si>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</si>
  <si>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</si>
  <si>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</si>
  <si>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</si>
  <si>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</si>
  <si>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</si>
  <si>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</si>
  <si>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</si>
  <si>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</si>
  <si>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</si>
  <si>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</si>
  <si>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</si>
  <si>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</si>
  <si>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</si>
  <si>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</si>
  <si>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</si>
  <si>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</si>
  <si>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</si>
  <si>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</si>
  <si>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</si>
  <si>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</si>
  <si>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</si>
  <si>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</si>
  <si>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</si>
  <si>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</si>
  <si>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</si>
  <si>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</si>
  <si>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</si>
  <si>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</si>
  <si>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</si>
  <si>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</si>
  <si>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</si>
  <si>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</si>
  <si>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</si>
  <si>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</si>
  <si>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</si>
  <si>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</si>
  <si>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</si>
  <si>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</si>
  <si>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</si>
  <si>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</si>
  <si>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</si>
  <si>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</si>
  <si>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</si>
  <si>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</si>
  <si>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</si>
  <si>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</si>
  <si>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</si>
  <si>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</si>
  <si>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</si>
  <si>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</si>
  <si>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</si>
  <si>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</si>
  <si>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</si>
  <si>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</si>
  <si>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</si>
  <si>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</si>
  <si>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</si>
  <si>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</si>
  <si>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</si>
  <si>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</si>
  <si>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</si>
  <si>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</si>
  <si>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</si>
  <si>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</si>
  <si>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</si>
  <si>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</si>
  <si>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</si>
  <si>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</si>
  <si>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</si>
  <si>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</si>
  <si>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</si>
  <si>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</si>
  <si>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</si>
  <si>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</si>
  <si>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</si>
  <si>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</si>
  <si>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</si>
  <si>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</si>
  <si>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</si>
  <si>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</si>
  <si>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</si>
  <si>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</si>
  <si>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</si>
  <si>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</si>
  <si>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</si>
  <si>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</si>
  <si>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</si>
  <si>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</si>
  <si>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</si>
  <si>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</si>
  <si>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</si>
  <si>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</si>
  <si>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</si>
  <si>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</si>
  <si>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</si>
  <si>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</si>
  <si>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</si>
  <si>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</si>
  <si>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</si>
  <si>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</si>
  <si>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</si>
  <si>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</si>
  <si>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</si>
  <si>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</si>
  <si>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</si>
  <si>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</si>
  <si>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</si>
  <si>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</si>
  <si>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</si>
  <si>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</si>
  <si>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</si>
  <si>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</si>
  <si>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</si>
  <si>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</si>
  <si>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</si>
  <si>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</si>
  <si>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</si>
  <si>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</si>
  <si>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</si>
  <si>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</si>
  <si>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</si>
  <si>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</si>
  <si>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</si>
  <si>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</si>
  <si>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</si>
  <si>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</si>
  <si>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</si>
  <si>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</si>
  <si>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</si>
  <si>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</si>
  <si>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</si>
  <si>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</si>
  <si>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</si>
  <si>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</si>
  <si>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</si>
  <si>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</si>
  <si>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</si>
  <si>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</si>
  <si>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</si>
  <si>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</si>
  <si>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</si>
  <si>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</si>
  <si>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</si>
  <si>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</si>
  <si>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</si>
  <si>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</si>
  <si>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</si>
  <si>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</si>
  <si>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</si>
  <si>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</si>
  <si>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</si>
  <si>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</si>
  <si>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</si>
  <si>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</si>
  <si>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</si>
  <si>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</si>
  <si>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</si>
  <si>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</si>
  <si>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</si>
  <si>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</si>
  <si>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</si>
  <si>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</si>
  <si>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</si>
  <si>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</si>
  <si>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</si>
  <si>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</si>
  <si>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</si>
  <si>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</si>
  <si>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</si>
  <si>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</si>
  <si>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</si>
  <si>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</si>
  <si>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</si>
  <si>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</si>
  <si>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</si>
  <si>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</si>
  <si>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</si>
  <si>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</si>
  <si>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</si>
  <si>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</si>
  <si>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</si>
  <si>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</si>
  <si>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</si>
  <si>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</si>
  <si>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</si>
  <si>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</si>
  <si>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</si>
  <si>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</si>
  <si>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</si>
  <si>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</si>
  <si>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</si>
  <si>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</si>
  <si>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</si>
  <si>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</si>
  <si>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</si>
  <si>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</si>
  <si>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</si>
  <si>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</si>
  <si>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</si>
  <si>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</si>
  <si>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</si>
  <si>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</si>
  <si>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</si>
  <si>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</si>
  <si>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</si>
  <si>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</si>
  <si>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</si>
  <si>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</si>
  <si>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</si>
  <si>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</si>
  <si>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</si>
  <si>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</si>
  <si>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</si>
  <si>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</si>
  <si>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</si>
  <si>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</si>
  <si>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</si>
  <si>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</si>
  <si>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</si>
  <si>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</si>
  <si>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</si>
  <si>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</si>
  <si>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</si>
  <si>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</si>
  <si>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</si>
  <si>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</si>
  <si>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</si>
  <si>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</si>
  <si>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</si>
  <si>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</si>
  <si>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</si>
  <si>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</si>
  <si>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</si>
  <si>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</si>
  <si>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</si>
  <si>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</si>
  <si>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</si>
  <si>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</si>
  <si>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</si>
  <si>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</si>
  <si>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</si>
  <si>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</si>
  <si>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</si>
  <si>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</si>
  <si>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</si>
  <si>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</si>
  <si>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</si>
  <si>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</si>
  <si>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</si>
  <si>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</si>
  <si>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</si>
  <si>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</si>
  <si>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</si>
  <si>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</si>
  <si>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</si>
  <si>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</si>
  <si>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</si>
  <si>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</si>
  <si>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</si>
  <si>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</si>
  <si>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</si>
  <si>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</si>
  <si>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</si>
  <si>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</si>
  <si>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</si>
  <si>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</si>
  <si>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</si>
  <si>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</si>
  <si>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</si>
  <si>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</si>
  <si>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</si>
  <si>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</si>
  <si>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</si>
  <si>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</si>
  <si>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</si>
  <si>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</si>
  <si>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</si>
  <si>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</si>
  <si>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</si>
  <si>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</si>
  <si>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</si>
  <si>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</si>
  <si>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</si>
  <si>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</si>
  <si>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</si>
  <si>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</si>
  <si>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</si>
  <si>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</si>
  <si>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</si>
  <si>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</si>
  <si>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</si>
  <si>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</si>
  <si>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</si>
  <si>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</si>
  <si>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</si>
  <si>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</si>
  <si>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</si>
  <si>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</si>
  <si>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</si>
  <si>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</si>
  <si>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</si>
  <si>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</si>
  <si>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</si>
  <si>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</si>
  <si>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</si>
  <si>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</si>
  <si>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</si>
  <si>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</si>
  <si>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</si>
  <si>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</si>
  <si>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</si>
  <si>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</si>
  <si>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</si>
  <si>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</si>
  <si>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</si>
  <si>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</si>
  <si>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</si>
  <si>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</si>
  <si>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</si>
  <si>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</si>
  <si>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</si>
  <si>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</si>
  <si>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</si>
  <si>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</si>
  <si>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</si>
  <si>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</si>
  <si>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</si>
  <si>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</si>
  <si>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</si>
  <si>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</si>
  <si>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</si>
  <si>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</si>
  <si>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</si>
  <si>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</si>
  <si>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</si>
  <si>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</si>
  <si>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</si>
  <si>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</si>
  <si>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</si>
  <si>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</si>
  <si>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</si>
  <si>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</si>
  <si>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</si>
  <si>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</si>
  <si>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</si>
  <si>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</si>
  <si>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</si>
  <si>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</si>
  <si>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</si>
  <si>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</si>
  <si>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</si>
  <si>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</si>
  <si>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</si>
  <si>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</si>
  <si>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</si>
  <si>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</si>
  <si>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</si>
  <si>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</si>
  <si>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</si>
  <si>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</si>
  <si>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</si>
  <si>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</si>
  <si>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</si>
  <si>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</si>
  <si>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</si>
  <si>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</si>
  <si>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</si>
  <si>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</si>
  <si>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</si>
  <si>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</si>
  <si>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</si>
  <si>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</si>
  <si>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</si>
  <si>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</si>
  <si>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</si>
  <si>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</si>
  <si>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</si>
  <si>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</si>
  <si>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</si>
  <si>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</si>
  <si>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</si>
  <si>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</si>
  <si>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</si>
  <si>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</si>
  <si>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</si>
  <si>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</si>
  <si>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</si>
  <si>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</si>
  <si>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</si>
  <si>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</si>
  <si>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</si>
  <si>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</si>
  <si>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</si>
  <si>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</si>
  <si>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</si>
  <si>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</si>
  <si>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</si>
  <si>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</si>
  <si>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</si>
  <si>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</si>
  <si>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</si>
  <si>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</si>
  <si>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</si>
  <si>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</si>
  <si>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</si>
  <si>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</si>
  <si>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</si>
  <si>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</si>
  <si>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</si>
  <si>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</si>
  <si>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</si>
  <si>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</si>
  <si>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</si>
  <si>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</si>
  <si>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</si>
  <si>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</si>
  <si>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</si>
  <si>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</si>
  <si>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</si>
  <si>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</si>
  <si>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</si>
  <si>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</si>
  <si>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</si>
  <si>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</si>
  <si>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</si>
  <si>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</si>
  <si>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</si>
  <si>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</si>
  <si>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</si>
  <si>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</si>
  <si>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</si>
  <si>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</si>
  <si>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</si>
  <si>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</si>
  <si>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</si>
  <si>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</si>
  <si>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</si>
  <si>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</si>
  <si>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</si>
  <si>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</si>
  <si>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</si>
  <si>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</si>
  <si>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</si>
  <si>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</si>
  <si>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</si>
  <si>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</si>
  <si>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</si>
  <si>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</si>
  <si>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</si>
  <si>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</si>
  <si>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</si>
  <si>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</si>
  <si>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</si>
  <si>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</si>
  <si>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</si>
  <si>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</si>
  <si>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</si>
  <si>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</si>
  <si>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</si>
  <si>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</si>
  <si>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</si>
  <si>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</si>
  <si>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</si>
  <si>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</si>
  <si>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</si>
  <si>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</si>
  <si>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</si>
  <si>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</si>
  <si>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</si>
  <si>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</si>
  <si>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</si>
  <si>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</si>
  <si>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</si>
  <si>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</si>
  <si>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</si>
  <si>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</si>
  <si>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</si>
  <si>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</si>
  <si>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</si>
  <si>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</si>
  <si>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</si>
  <si>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</si>
  <si>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</si>
  <si>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</si>
  <si>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</si>
  <si>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</si>
  <si>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</si>
  <si>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</si>
  <si>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</si>
  <si>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</si>
  <si>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</si>
  <si>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</si>
  <si>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</si>
  <si>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</si>
  <si>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</si>
  <si>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</si>
  <si>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</si>
  <si>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</si>
  <si>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</si>
  <si>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</si>
  <si>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</si>
  <si>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</si>
  <si>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</si>
  <si>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</si>
  <si>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</si>
  <si>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</si>
  <si>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</si>
  <si>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</si>
  <si>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</si>
  <si>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</si>
  <si>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</si>
  <si>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</si>
  <si>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</si>
  <si>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</si>
  <si>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</si>
  <si>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</si>
  <si>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</si>
  <si>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</si>
  <si>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</si>
  <si>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</si>
  <si>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</si>
  <si>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</si>
  <si>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</si>
  <si>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</si>
  <si>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</si>
  <si>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</si>
  <si>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</si>
  <si>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</si>
  <si>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</si>
  <si>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</si>
  <si>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</si>
  <si>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</si>
  <si>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</si>
  <si>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</si>
  <si>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</si>
  <si>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</si>
  <si>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</si>
  <si>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</si>
  <si>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</si>
  <si>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</si>
  <si>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</si>
  <si>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</si>
  <si>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</si>
  <si>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</si>
  <si>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</si>
  <si>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</si>
  <si>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</si>
  <si>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</si>
  <si>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</si>
  <si>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</si>
  <si>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</si>
  <si>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</si>
  <si>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</si>
  <si>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</si>
  <si>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</si>
  <si>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</si>
  <si>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</si>
  <si>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</si>
  <si>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</si>
  <si>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</si>
  <si>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</si>
  <si>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</si>
  <si>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</si>
  <si>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</si>
  <si>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</si>
  <si>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</si>
  <si>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</si>
  <si>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</si>
  <si>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</si>
  <si>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</si>
  <si>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</si>
  <si>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</si>
  <si>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</si>
  <si>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</si>
  <si>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</si>
  <si>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</si>
  <si>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</si>
  <si>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</si>
  <si>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</si>
  <si>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</si>
  <si>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</si>
  <si>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</si>
  <si>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</si>
  <si>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</si>
  <si>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</si>
  <si>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</si>
  <si>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</si>
  <si>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</si>
  <si>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</si>
  <si>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</si>
  <si>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</si>
  <si>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</si>
  <si>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</si>
  <si>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</si>
  <si>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</si>
  <si>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</si>
  <si>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</si>
  <si>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</si>
  <si>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</si>
  <si>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</si>
  <si>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</si>
  <si>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</si>
  <si>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</si>
  <si>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</si>
  <si>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</si>
  <si>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</si>
  <si>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</si>
  <si>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</si>
  <si>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</si>
  <si>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</si>
  <si>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</si>
  <si>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</si>
  <si>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</si>
  <si>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</si>
  <si>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</si>
  <si>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</si>
  <si>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</si>
  <si>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</si>
  <si>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</si>
  <si>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</si>
  <si>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</si>
  <si>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</si>
  <si>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</si>
  <si>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</si>
  <si>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</si>
  <si>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</si>
  <si>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</si>
  <si>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</si>
  <si>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</si>
  <si>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</si>
  <si>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</si>
  <si>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</si>
  <si>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</si>
  <si>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</si>
  <si>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</si>
  <si>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</si>
  <si>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</si>
  <si>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</si>
  <si>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</si>
  <si>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</si>
  <si>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</si>
  <si>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</si>
  <si>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</si>
  <si>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</si>
  <si>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</si>
  <si>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</si>
  <si>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</si>
  <si>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</si>
  <si>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</si>
  <si>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</si>
  <si>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</si>
  <si>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</si>
  <si>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</si>
  <si>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</si>
  <si>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</si>
  <si>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</si>
  <si>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</si>
  <si>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</si>
  <si>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</si>
  <si>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</si>
  <si>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</si>
  <si>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</si>
  <si>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</si>
  <si>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</si>
  <si>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</si>
  <si>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</si>
  <si>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</si>
  <si>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</si>
  <si>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</si>
  <si>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</si>
  <si>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</si>
  <si>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</si>
  <si>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</si>
  <si>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</si>
  <si>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</si>
  <si>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</si>
  <si>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</si>
  <si>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</si>
  <si>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</si>
  <si>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</si>
  <si>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</si>
  <si>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</si>
  <si>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</si>
  <si>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</si>
  <si>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</si>
  <si>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</si>
  <si>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</si>
  <si>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</si>
  <si>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</si>
  <si>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</si>
  <si>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</si>
  <si>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</si>
  <si>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</si>
  <si>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</si>
  <si>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</si>
  <si>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</si>
  <si>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</si>
  <si>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</si>
  <si>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</si>
  <si>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</si>
  <si>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</si>
  <si>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</si>
  <si>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</si>
  <si>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</si>
  <si>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</si>
  <si>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</si>
  <si>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</si>
  <si>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</si>
  <si>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</si>
  <si>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</si>
  <si>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</si>
  <si>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</si>
  <si>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</si>
  <si>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</si>
  <si>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</si>
  <si>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</si>
  <si>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</si>
  <si>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</si>
  <si>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</si>
  <si>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</si>
  <si>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</si>
  <si>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</si>
  <si>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</si>
  <si>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</si>
  <si>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</si>
  <si>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</si>
  <si>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</si>
  <si>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</si>
  <si>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</si>
  <si>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</si>
  <si>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</si>
  <si>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</si>
  <si>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</si>
  <si>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</si>
  <si>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</si>
  <si>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</si>
  <si>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</si>
  <si>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</si>
  <si>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</si>
  <si>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</si>
  <si>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</si>
  <si>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</si>
  <si>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</si>
  <si>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</si>
  <si>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</si>
  <si>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</si>
  <si>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</si>
  <si>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</si>
  <si>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</si>
  <si>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</si>
  <si>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</si>
  <si>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</si>
  <si>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</si>
  <si>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</si>
  <si>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</si>
  <si>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</si>
  <si>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</si>
  <si>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</si>
  <si>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</si>
  <si>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</si>
  <si>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</si>
  <si>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</si>
  <si>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</si>
  <si>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</si>
  <si>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</si>
  <si>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</si>
  <si>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</si>
  <si>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</si>
  <si>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</si>
  <si>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</si>
  <si>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</si>
  <si>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</si>
  <si>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</si>
  <si>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</si>
  <si>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</si>
  <si>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</si>
  <si>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</si>
  <si>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</si>
  <si>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</si>
  <si>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</si>
  <si>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</si>
  <si>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</si>
  <si>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</si>
  <si>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</si>
  <si>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</si>
  <si>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</si>
  <si>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</si>
  <si>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</si>
  <si>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</si>
  <si>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</si>
  <si>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</si>
  <si>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</si>
  <si>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</si>
  <si>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</si>
  <si>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</si>
  <si>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</si>
  <si>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</si>
  <si>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</si>
  <si>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</si>
  <si>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</si>
  <si>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</si>
  <si>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</si>
  <si>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</si>
  <si>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</si>
  <si>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</si>
  <si>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</si>
  <si>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</si>
  <si>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</si>
  <si>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</si>
  <si>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</si>
  <si>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</si>
  <si>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</si>
  <si>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</si>
  <si>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</si>
  <si>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</si>
  <si>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</si>
  <si>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</si>
  <si>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</si>
  <si>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</si>
  <si>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</si>
  <si>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</si>
  <si>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</si>
  <si>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</si>
  <si>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</si>
  <si>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</si>
  <si>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</si>
  <si>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</si>
  <si>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</si>
  <si>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</si>
  <si>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</si>
  <si>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</si>
  <si>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</si>
  <si>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</si>
  <si>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</si>
  <si>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</si>
  <si>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</si>
  <si>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</si>
  <si>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</si>
  <si>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</si>
  <si>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</si>
  <si>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</si>
  <si>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</si>
  <si>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</si>
  <si>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</si>
  <si>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</si>
  <si>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</si>
  <si>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</si>
  <si>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</si>
  <si>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</si>
  <si>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</si>
  <si>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</si>
  <si>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</si>
  <si>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</si>
  <si>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</si>
  <si>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</si>
  <si>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</si>
  <si>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</si>
  <si>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</si>
  <si>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</si>
  <si>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</si>
  <si>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</si>
  <si>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</si>
  <si>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</si>
  <si>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</si>
  <si>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</si>
  <si>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</si>
  <si>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</si>
  <si>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</si>
  <si>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</si>
  <si>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</si>
  <si>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</si>
  <si>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</si>
  <si>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</si>
  <si>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</si>
  <si>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</si>
  <si>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</si>
  <si>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</si>
  <si>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</si>
  <si>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</si>
  <si>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</si>
  <si>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</si>
  <si>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</si>
  <si>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</si>
  <si>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</si>
  <si>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</si>
  <si>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</si>
  <si>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</si>
  <si>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</si>
  <si>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</si>
  <si>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</si>
  <si>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</si>
  <si>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</si>
  <si>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</si>
  <si>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</si>
  <si>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</si>
  <si>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</si>
  <si>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</si>
  <si>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</si>
  <si>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</si>
  <si>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</si>
  <si>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</si>
  <si>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</si>
  <si>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</si>
  <si>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</si>
  <si>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</si>
  <si>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</si>
  <si>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</si>
  <si>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</si>
  <si>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</si>
  <si>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</si>
  <si>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</si>
  <si>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</si>
  <si>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</si>
  <si>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</si>
  <si>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</si>
  <si>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</si>
  <si>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</si>
  <si>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</si>
  <si>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</si>
  <si>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</si>
  <si>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</si>
  <si>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</si>
  <si>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</si>
  <si>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</si>
  <si>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</si>
  <si>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</si>
  <si>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</si>
  <si>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</si>
  <si>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</si>
  <si>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</si>
  <si>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</si>
  <si>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</si>
  <si>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</si>
  <si>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</si>
  <si>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</si>
  <si>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</si>
  <si>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</si>
  <si>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</si>
  <si>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</si>
  <si>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</si>
  <si>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</si>
  <si>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</si>
  <si>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</si>
  <si>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</si>
  <si>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</si>
  <si>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</si>
  <si>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</si>
  <si>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</si>
  <si>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</si>
  <si>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</si>
  <si>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</si>
  <si>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</si>
  <si>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</si>
  <si>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</si>
  <si>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</si>
  <si>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</si>
  <si>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</si>
  <si>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</si>
  <si>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</si>
  <si>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</si>
  <si>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</si>
  <si>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</si>
  <si>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</si>
  <si>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</si>
  <si>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</si>
  <si>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</si>
  <si>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</si>
  <si>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</si>
  <si>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</si>
  <si>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</si>
  <si>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</si>
  <si>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</si>
  <si>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</si>
  <si>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</si>
  <si>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</si>
  <si>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</si>
  <si>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</si>
  <si>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</si>
  <si>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</si>
  <si>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</si>
  <si>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</si>
  <si>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</si>
  <si>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</si>
  <si>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</si>
  <si>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</si>
  <si>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</si>
  <si>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</si>
  <si>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</si>
  <si>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</si>
  <si>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</si>
  <si>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</si>
  <si>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</si>
  <si>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</si>
  <si>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</si>
  <si>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</si>
  <si>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</si>
  <si>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</si>
  <si>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</si>
  <si>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</si>
  <si>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</si>
  <si>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</si>
  <si>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</si>
  <si>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</si>
  <si>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</si>
  <si>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</si>
  <si>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</si>
  <si>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</si>
  <si>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</si>
  <si>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</si>
  <si>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</si>
  <si>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</si>
  <si>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</si>
  <si>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</si>
  <si>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</si>
  <si>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</si>
  <si>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</si>
  <si>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</si>
  <si>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</si>
  <si>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</si>
  <si>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</si>
  <si>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</si>
  <si>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</si>
  <si>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</si>
  <si>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</si>
  <si>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</si>
  <si>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</si>
  <si>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</si>
  <si>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</si>
  <si>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</si>
  <si>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</si>
  <si>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</si>
  <si>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</si>
  <si>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</si>
  <si>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</si>
  <si>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</si>
  <si>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</si>
  <si>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</si>
  <si>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</si>
  <si>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</si>
  <si>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</si>
  <si>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</si>
  <si>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</si>
  <si>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</si>
  <si>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</si>
  <si>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</si>
  <si>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</si>
  <si>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</si>
  <si>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</si>
  <si>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</si>
  <si>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</si>
  <si>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</si>
  <si>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</si>
  <si>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</si>
  <si>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</si>
  <si>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</si>
  <si>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</si>
  <si>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</si>
  <si>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</si>
  <si>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</si>
  <si>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</si>
  <si>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</si>
  <si>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</si>
  <si>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</si>
  <si>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</si>
  <si>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</si>
  <si>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</si>
  <si>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</si>
  <si>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</si>
  <si>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</si>
  <si>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</si>
  <si>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</si>
  <si>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</si>
  <si>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</si>
  <si>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</si>
  <si>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</si>
  <si>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</si>
  <si>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</si>
  <si>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</si>
  <si>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</si>
  <si>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</si>
  <si>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</si>
  <si>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</si>
  <si>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</si>
  <si>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</si>
  <si>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</si>
  <si>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</si>
  <si>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</si>
  <si>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</si>
  <si>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</si>
  <si>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</si>
  <si>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</si>
  <si>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</si>
  <si>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</si>
  <si>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</si>
  <si>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</si>
  <si>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</si>
  <si>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</si>
  <si>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</si>
  <si>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</si>
  <si>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</si>
  <si>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</si>
  <si>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</si>
  <si>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</si>
  <si>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</si>
  <si>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</si>
  <si>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</si>
  <si>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</si>
  <si>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</si>
  <si>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</si>
  <si>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</si>
  <si>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</si>
  <si>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</si>
  <si>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</si>
  <si>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</si>
  <si>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</si>
  <si>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</si>
  <si>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</si>
  <si>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</si>
  <si>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</si>
  <si>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</si>
  <si>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</si>
  <si>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</si>
  <si>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</si>
  <si>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</si>
  <si>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</si>
  <si>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</si>
  <si>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</si>
  <si>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</si>
  <si>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</si>
  <si>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</si>
  <si>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</si>
  <si>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</si>
  <si>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</si>
  <si>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</si>
  <si>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</si>
  <si>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</si>
  <si>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</si>
  <si>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</si>
  <si>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</si>
  <si>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</si>
  <si>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</si>
  <si>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</si>
  <si>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</si>
  <si>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</si>
  <si>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</si>
  <si>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</si>
  <si>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</si>
  <si>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</si>
  <si>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</si>
  <si>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</si>
  <si>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</si>
  <si>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</si>
  <si>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</si>
  <si>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</si>
  <si>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</si>
  <si>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</si>
  <si>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</si>
  <si>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</si>
  <si>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</si>
  <si>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</si>
  <si>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</si>
  <si>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</si>
  <si>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</si>
  <si>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</si>
  <si>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</si>
  <si>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</si>
  <si>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</si>
  <si>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</si>
  <si>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</si>
  <si>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</si>
  <si>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</si>
  <si>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</si>
  <si>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</si>
  <si>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</si>
  <si>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</si>
  <si>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</si>
  <si>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</si>
  <si>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</si>
  <si>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</si>
  <si>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</si>
  <si>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</si>
  <si>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</si>
  <si>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</si>
  <si>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</si>
  <si>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</si>
  <si>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</si>
  <si>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</si>
  <si>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</si>
  <si>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</si>
  <si>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</si>
  <si>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</si>
  <si>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</si>
  <si>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</si>
  <si>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</si>
  <si>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</si>
  <si>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</si>
  <si>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</si>
  <si>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</si>
  <si>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</si>
  <si>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</si>
  <si>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</si>
  <si>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</si>
  <si>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</si>
  <si>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</si>
  <si>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</si>
  <si>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</si>
  <si>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</si>
  <si>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</si>
  <si>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</si>
  <si>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</si>
  <si>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</si>
  <si>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</si>
  <si>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</si>
  <si>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</si>
  <si>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</si>
  <si>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</si>
  <si>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</si>
  <si>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</si>
  <si>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</si>
  <si>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</si>
  <si>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</si>
  <si>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</si>
  <si>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</si>
  <si>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</si>
  <si>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</si>
  <si>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</si>
  <si>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</si>
  <si>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</si>
  <si>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</si>
  <si>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</si>
  <si>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</si>
  <si>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</si>
  <si>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</si>
  <si>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</si>
  <si>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</si>
  <si>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</si>
  <si>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</si>
  <si>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</si>
  <si>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</si>
  <si>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</si>
  <si>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</si>
  <si>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</si>
  <si>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</si>
  <si>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</si>
  <si>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</si>
  <si>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</si>
  <si>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</si>
  <si>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</si>
  <si>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</si>
  <si>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</si>
  <si>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</si>
  <si>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</si>
  <si>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</si>
  <si>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</si>
  <si>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</si>
  <si>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</si>
  <si>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</si>
  <si>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</si>
  <si>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</si>
  <si>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</si>
  <si>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</si>
  <si>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</si>
  <si>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</si>
  <si>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</si>
  <si>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</si>
  <si>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</si>
  <si>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</si>
  <si>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</si>
  <si>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</si>
  <si>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</si>
  <si>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</si>
  <si>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</si>
  <si>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</si>
  <si>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</si>
  <si>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</si>
  <si>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</si>
  <si>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</si>
  <si>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</si>
  <si>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</si>
  <si>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</si>
  <si>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</si>
  <si>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</si>
  <si>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</si>
  <si>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</si>
  <si>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</si>
  <si>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</si>
  <si>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</si>
  <si>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</si>
  <si>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</si>
  <si>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</si>
  <si>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</si>
  <si>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</si>
  <si>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</si>
  <si>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</si>
  <si>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</si>
  <si>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</si>
  <si>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</si>
  <si>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</si>
  <si>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</si>
  <si>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</si>
  <si>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</si>
  <si>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</si>
  <si>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</si>
  <si>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</si>
  <si>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</si>
  <si>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</si>
  <si>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</si>
  <si>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</si>
  <si>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</si>
  <si>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</si>
  <si>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</si>
  <si>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</si>
  <si>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</si>
  <si>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</si>
  <si>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</si>
  <si>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</si>
  <si>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</si>
  <si>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</si>
  <si>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</si>
  <si>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</si>
  <si>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</si>
  <si>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</si>
  <si>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</si>
  <si>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</si>
  <si>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</si>
  <si>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</si>
  <si>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</si>
  <si>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</si>
  <si>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</si>
  <si>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</si>
  <si>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</si>
  <si>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</si>
  <si>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</si>
  <si>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</si>
  <si>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</si>
  <si>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</si>
  <si>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</si>
  <si>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</si>
  <si>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</si>
  <si>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</si>
  <si>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</si>
  <si>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</si>
  <si>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</si>
  <si>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</si>
  <si>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</si>
  <si>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</si>
  <si>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</si>
  <si>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</si>
  <si>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</si>
  <si>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</si>
  <si>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</si>
  <si>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</si>
  <si>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</si>
  <si>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</si>
  <si>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</si>
  <si>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</si>
  <si>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</si>
  <si>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</si>
  <si>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</si>
  <si>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</si>
  <si>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</si>
  <si>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</si>
  <si>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</si>
  <si>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</si>
  <si>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</si>
  <si>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</si>
  <si>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</si>
  <si>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</si>
  <si>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</si>
  <si>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</si>
  <si>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</si>
  <si>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</si>
  <si>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</si>
  <si>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</si>
  <si>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</si>
  <si>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</si>
  <si>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</si>
  <si>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</si>
  <si>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</si>
  <si>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</si>
  <si>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</si>
  <si>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</si>
  <si>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</si>
  <si>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</si>
  <si>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</si>
  <si>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</si>
  <si>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</si>
  <si>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</si>
  <si>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</si>
  <si>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</si>
  <si>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</si>
  <si>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</si>
  <si>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</si>
  <si>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</si>
  <si>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</si>
  <si>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</si>
  <si>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</si>
  <si>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</si>
  <si>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</si>
  <si>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</si>
  <si>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</si>
  <si>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</si>
  <si>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</si>
  <si>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</si>
  <si>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</si>
  <si>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</si>
  <si>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</si>
  <si>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</si>
  <si>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</si>
  <si>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</si>
  <si>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</si>
  <si>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</si>
  <si>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</si>
  <si>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</si>
  <si>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</si>
  <si>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</si>
  <si>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</si>
  <si>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</si>
  <si>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</si>
  <si>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</si>
  <si>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</si>
  <si>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</si>
  <si>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</si>
  <si>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</si>
  <si>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</si>
  <si>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</si>
  <si>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</si>
  <si>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</si>
  <si>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</si>
  <si>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</si>
  <si>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</si>
  <si>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</si>
  <si>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</si>
  <si>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</si>
  <si>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</si>
  <si>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</si>
  <si>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</si>
  <si>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</si>
  <si>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</si>
  <si>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</si>
  <si>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</si>
  <si>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</si>
  <si>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</si>
  <si>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</si>
  <si>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</si>
  <si>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</si>
  <si>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</si>
  <si>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</si>
  <si>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</si>
  <si>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</si>
  <si>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</si>
  <si>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</si>
  <si>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</si>
  <si>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</si>
  <si>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</si>
  <si>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</si>
  <si>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</si>
  <si>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</si>
  <si>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</si>
  <si>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</si>
  <si>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</si>
  <si>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</si>
  <si>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</si>
  <si>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</si>
  <si>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</si>
  <si>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</si>
  <si>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</si>
  <si>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</si>
  <si>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</si>
  <si>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</si>
  <si>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</si>
  <si>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</si>
  <si>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</si>
  <si>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</si>
  <si>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</si>
  <si>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</si>
  <si>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</si>
  <si>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</si>
  <si>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</si>
  <si>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</si>
  <si>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</si>
  <si>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</si>
  <si>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</si>
  <si>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</si>
  <si>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</si>
  <si>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</si>
  <si>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</si>
  <si>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</si>
  <si>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</si>
  <si>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</si>
  <si>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</si>
  <si>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</si>
  <si>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</si>
  <si>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</si>
  <si>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</si>
  <si>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</si>
  <si>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</si>
  <si>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</si>
  <si>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</si>
  <si>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</si>
  <si>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</si>
  <si>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</si>
  <si>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</si>
  <si>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</si>
  <si>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</si>
  <si>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</si>
  <si>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</si>
  <si>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</si>
  <si>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</si>
  <si>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</si>
  <si>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</si>
  <si>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</si>
  <si>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</si>
  <si>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</si>
  <si>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</si>
  <si>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</si>
  <si>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</si>
  <si>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</si>
  <si>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</si>
  <si>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</si>
  <si>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</si>
  <si>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</si>
  <si>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</si>
  <si>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</si>
  <si>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</si>
  <si>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</si>
  <si>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</si>
  <si>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</si>
  <si>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</si>
  <si>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</si>
  <si>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</si>
  <si>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</si>
  <si>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</si>
  <si>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</si>
  <si>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</si>
  <si>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</si>
  <si>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</si>
  <si>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</si>
  <si>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</si>
  <si>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</si>
  <si>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</si>
  <si>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</si>
  <si>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</si>
  <si>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</si>
  <si>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</si>
  <si>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</si>
  <si>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</si>
  <si>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</si>
  <si>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</si>
  <si>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</si>
  <si>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</si>
  <si>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</si>
  <si>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</si>
  <si>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</si>
  <si>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</si>
  <si>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</si>
  <si>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</si>
  <si>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</si>
  <si>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</si>
  <si>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</si>
  <si>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</si>
  <si>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</si>
  <si>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</si>
  <si>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</si>
  <si>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</si>
  <si>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</si>
  <si>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</si>
  <si>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</si>
  <si>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</si>
  <si>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</si>
  <si>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</si>
  <si>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</si>
  <si>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</si>
  <si>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</si>
  <si>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</si>
  <si>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</si>
  <si>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</si>
  <si>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</si>
  <si>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</si>
  <si>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</si>
  <si>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</si>
  <si>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</si>
  <si>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</si>
  <si>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</si>
  <si>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</si>
  <si>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</si>
  <si>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</si>
  <si>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</si>
  <si>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</si>
  <si>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</si>
  <si>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</si>
  <si>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</si>
  <si>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</si>
  <si>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</si>
  <si>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</si>
  <si>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</si>
  <si>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</si>
  <si>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</si>
  <si>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</si>
  <si>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</si>
  <si>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</si>
  <si>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</si>
  <si>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</si>
  <si>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</si>
  <si>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</si>
  <si>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</si>
  <si>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</si>
  <si>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</si>
  <si>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</si>
  <si>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</si>
  <si>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</si>
  <si>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</si>
  <si>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</si>
  <si>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</si>
  <si>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</si>
  <si>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</si>
  <si>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</si>
  <si>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</si>
  <si>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</si>
  <si>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</si>
  <si>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</si>
  <si>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</si>
  <si>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</si>
  <si>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</si>
  <si>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</si>
  <si>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</si>
  <si>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</si>
  <si>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</si>
  <si>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</si>
  <si>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</si>
  <si>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</si>
  <si>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</si>
  <si>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</si>
  <si>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</si>
  <si>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</si>
  <si>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</si>
  <si>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</si>
  <si>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</si>
  <si>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</si>
  <si>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</si>
  <si>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</si>
  <si>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</si>
  <si>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</si>
  <si>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</si>
  <si>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</si>
  <si>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</si>
  <si>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</si>
  <si>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</si>
  <si>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</si>
  <si>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</si>
  <si>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</si>
  <si>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</si>
  <si>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</si>
  <si>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</si>
  <si>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</si>
  <si>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</si>
  <si>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</si>
  <si>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</si>
  <si>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</si>
  <si>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</si>
  <si>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</si>
  <si>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</si>
  <si>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</si>
  <si>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</si>
  <si>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</si>
  <si>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</si>
  <si>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</si>
  <si>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</si>
  <si>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</si>
  <si>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</si>
  <si>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</si>
  <si>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</si>
  <si>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</si>
  <si>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</si>
  <si>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</si>
  <si>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</si>
  <si>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</si>
  <si>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</si>
  <si>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</si>
  <si>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</si>
  <si>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</si>
  <si>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MGB France</t>
  </si>
  <si>
    <t>Bar turning company</t>
  </si>
  <si>
    <t>Damien GUIDO</t>
  </si>
  <si>
    <t>d.guido@mgb.fr</t>
  </si>
  <si>
    <t>00 33 4 50 98 66 40</t>
  </si>
  <si>
    <t>Environnement Manager</t>
  </si>
  <si>
    <t>In the raw materials manufactured by our supplier that we machine (raw material to meet customer's print requirements).</t>
  </si>
  <si>
    <t>In the gold plating made by our supplier and on certain raw materials that we machine (plating and raw material to meet customer's print requirements).</t>
  </si>
  <si>
    <t>Vale Canada Limited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</si>
</sst>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Avertissement" xfId="683" builtinId="11" customBuiltin="1"/>
    <cellStyle name="Bad 2" xfId="30"/>
    <cellStyle name="Bad 2 2" xfId="620"/>
    <cellStyle name="Bad 3" xfId="31"/>
    <cellStyle name="Bad 3 2" xfId="621"/>
    <cellStyle name="Calcul" xfId="680" builtinId="22" customBuiltin="1"/>
    <cellStyle name="Calculation 2" xfId="32"/>
    <cellStyle name="Calculation 2 2" xfId="622"/>
    <cellStyle name="Cellule liée" xfId="681" builtinId="24"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8" builtinId="20" customBuiltin="1"/>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Insatisfaisant" xfId="676" builtinId="27" customBuiltin="1"/>
    <cellStyle name="Lien hypertexte" xfId="831" builtinId="8"/>
    <cellStyle name="Linked Cell 2" xfId="500"/>
    <cellStyle name="Neutral 2" xfId="501"/>
    <cellStyle name="Neutral 2 2" xfId="633"/>
    <cellStyle name="Neutre" xfId="677" builtinId="28" customBuiltin="1"/>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atisfaisant" xfId="675" builtinId="26" customBuiltin="1"/>
    <cellStyle name="Sortie" xfId="679" builtinId="21" customBuiltin="1"/>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exte explicatif" xfId="684" builtinId="53" customBuiltin="1"/>
    <cellStyle name="Title 2" xfId="588"/>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cellStyle name="Vérification" xfId="682" builtinId="23" customBuiltin="1"/>
    <cellStyle name="Warning Text 2" xfId="590"/>
    <cellStyle name="표준 2" xfId="591"/>
    <cellStyle name="一般 7" xfId="592"/>
    <cellStyle name="標準 2" xfId="593"/>
    <cellStyle name="標準 2 2" xfId="594"/>
    <cellStyle name="標準 2 3" xfId="595"/>
  </cellStyles>
  <dxfs count="3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guido@mgb.fr" TargetMode="External"/><Relationship Id="rId1" Type="http://schemas.openxmlformats.org/officeDocument/2006/relationships/hyperlink" Target="mailto:d.guido@mgb.f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79"/>
    </row>
    <row r="4" spans="1:2" ht="16.5" customHeight="1">
      <c r="A4" s="218"/>
      <c r="B4" s="179"/>
    </row>
    <row r="5" spans="1:2" ht="42" customHeight="1">
      <c r="A5" s="219" t="str">
        <f ca="1">OFFSET(L!$C$1,MATCH("Instructions"&amp;ADDRESS(ROW(),COLUMN(),4),L!$A:$A,0)-1,SL,,)</f>
        <v>Instructions pour compléter les informations relatives à votre entreprise (lignes 7 - 26). Merci de répondre en anglais uniquement.</v>
      </c>
      <c r="B5" s="179"/>
    </row>
    <row r="6" spans="1:2" ht="35.25" customHeight="1">
      <c r="A6" s="94" t="str">
        <f ca="1">OFFSET(L!$C$1,MATCH("Instructions"&amp;ADDRESS(ROW(),COLUMN(),4),L!$A:$A,0)-1,SL,,)</f>
        <v>Remarque : Les astérisques (*) marquent des champs obligatoires.</v>
      </c>
      <c r="B6" s="179"/>
    </row>
    <row r="7" spans="1:2" ht="48" customHeight="1">
      <c r="A7" s="197"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79"/>
    </row>
    <row r="8" spans="1:2" ht="345">
      <c r="A8" s="197"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79"/>
    </row>
    <row r="9" spans="1:2" ht="75">
      <c r="A9" s="197" t="str">
        <f ca="1">OFFSET(L!$C$1,MATCH("Instructions"&amp;ADDRESS(ROW(),COLUMN(),4),L!$A:$A,0)-1,SL,,)</f>
        <v>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v>
      </c>
      <c r="B9" s="179"/>
    </row>
    <row r="10" spans="1:2" ht="34.5" customHeight="1">
      <c r="A10" s="93" t="str">
        <f ca="1">OFFSET(L!$C$1,MATCH("Instructions"&amp;ADDRESS(ROW(),COLUMN(),4),L!$A:$A,0)-1,SL,,)</f>
        <v>4. Entrez le numéro ou code identificateur unique de votre entreprise (numéro DUNS, numéro TVA, identifiant spécifique au client, etc.)</v>
      </c>
      <c r="B10" s="179"/>
    </row>
    <row r="11" spans="1:2" ht="20.25" customHeight="1">
      <c r="A11" s="93" t="str">
        <f ca="1">OFFSET(L!$C$1,MATCH("Instructions"&amp;ADDRESS(ROW(),COLUMN(),4),L!$A:$A,0)-1,SL,,)</f>
        <v>5. Indiquer la source pour l'identifiant unique de votre entreprise (numéro DUNS, numéro TVA, etc…)</v>
      </c>
      <c r="B11" s="179"/>
    </row>
    <row r="12" spans="1:2" ht="20.25" customHeight="1">
      <c r="A12" s="93" t="str">
        <f ca="1">OFFSET(L!$C$1,MATCH("Instructions"&amp;ADDRESS(ROW(),COLUMN(),4),L!$A:$A,0)-1,SL,,)</f>
        <v>6. Entrez l’adresse complète de votre entreprise (rue, ville, pays, code postal). Ce champ est optionnel.</v>
      </c>
      <c r="B12" s="179"/>
    </row>
    <row r="13" spans="1:2" ht="35.25" customHeight="1">
      <c r="A13" s="93" t="str">
        <f ca="1">OFFSET(L!$C$1,MATCH("Instructions"&amp;ADDRESS(ROW(),COLUMN(),4),L!$A:$A,0)-1,SL,,)</f>
        <v>7. Insérez le nom de la personne à contacter concernant le contenu des informations de la déclaration. Ce champ est obligatoire.</v>
      </c>
      <c r="B13" s="179"/>
    </row>
    <row r="14" spans="1:2" ht="33" customHeight="1">
      <c r="A14" s="93" t="str">
        <f ca="1">OFFSET(L!$C$1,MATCH("Instructions"&amp;ADDRESS(ROW(),COLUMN(),4),L!$A:$A,0)-1,SL,,)</f>
        <v>8. Indiquez l'adresse email de la personne à contacter. Si cette personne n'a pas d'adresse email, indiquez « non disponible » ou « n/a ». Un champ vide peut provoquer une erreur dans l'exécution de ce formulaire. Ce champ est obligatoire.</v>
      </c>
      <c r="B14" s="179"/>
    </row>
    <row r="15" spans="1:2" ht="20.25" customHeight="1">
      <c r="A15" s="93" t="str">
        <f ca="1">OFFSET(L!$C$1,MATCH("Instructions"&amp;ADDRESS(ROW(),COLUMN(),4),L!$A:$A,0)-1,SL,,)</f>
        <v>9. Insérez le numéro de téléphone du contact. Ce champ est obligatoire.</v>
      </c>
      <c r="B15" s="179"/>
    </row>
    <row r="16" spans="1:2" ht="49.5" customHeight="1">
      <c r="A16" s="93" t="str">
        <f ca="1">OFFSET(L!$C$1,MATCH("Instructions"&amp;ADDRESS(ROW(),COLUMN(),4),L!$A:$A,0)-1,SL,,)</f>
        <v>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6" s="179"/>
    </row>
    <row r="17" spans="1:2" ht="32.25" customHeight="1">
      <c r="A17" s="93" t="str">
        <f ca="1">OFFSET(L!$C$1,MATCH("Instructions"&amp;ADDRESS(ROW(),COLUMN(),4),L!$A:$A,0)-1,SL,,)</f>
        <v>11. Indiquez le titre de la personne donnant l’autorisation. Ce champ est facultatif.</v>
      </c>
      <c r="B17" s="179"/>
    </row>
    <row r="18" spans="1:2" ht="30">
      <c r="A18" s="93" t="str">
        <f ca="1">OFFSET(L!$C$1,MATCH("Instructions"&amp;ADDRESS(ROW(),COLUMN(),4),L!$A:$A,0)-1,SL,,)</f>
        <v>12. Insérez l’adresse e-mail de la personne donnant l’autorisation. Si une adresse e-mail n’est pas disponible, saisissez « non disponible » ou « n/a ». Un champ vide peut entraîner une erreur dans le traitement du formulaire. Ce champ est obligatoire.</v>
      </c>
      <c r="B18" s="179"/>
    </row>
    <row r="19" spans="1:2" ht="31.5" customHeight="1">
      <c r="A19" s="93" t="str">
        <f ca="1">OFFSET(L!$C$1,MATCH("Instructions"&amp;ADDRESS(ROW(),COLUMN(),4),L!$A:$A,0)-1,SL,,)</f>
        <v>13. Indiquez le numéro de téléphone de la personne donnant l’autorisation. Ce champ est facultatif.</v>
      </c>
      <c r="B19" s="179"/>
    </row>
    <row r="20" spans="1:2" ht="35.450000000000003" customHeight="1">
      <c r="A20" s="93" t="str">
        <f ca="1">OFFSET(L!$C$1,MATCH("Instructions"&amp;ADDRESS(ROW(),COLUMN(),4),L!$A:$A,0)-1,SL,,)</f>
        <v>14. Veuillez saisir la date de fin de ce formulaire au format JJ-MM-AAAA. Ce champ est obligatoire.</v>
      </c>
      <c r="B20" s="179"/>
    </row>
    <row r="21" spans="1:2" ht="40.5" customHeight="1">
      <c r="A21" s="93" t="str">
        <f ca="1">OFFSET(L!$C$1,MATCH("Instructions"&amp;ADDRESS(ROW(),COLUMN(),4),L!$A:$A,0)-1,SL,,)</f>
        <v>15. Le rapport peut par exemple être sauvegardé sous le nom suivant: nomdelentreprise-date.xlsx (date au format AAAA-MM-JJ).</v>
      </c>
      <c r="B21" s="179"/>
    </row>
    <row r="22" spans="1:2" ht="17.45" customHeight="1">
      <c r="A22" s="218"/>
      <c r="B22" s="179"/>
    </row>
    <row r="23" spans="1:2" ht="42.75" customHeight="1">
      <c r="A23" s="94" t="str">
        <f ca="1">OFFSET(L!$C$1,MATCH("Instructions"&amp;ADDRESS(ROW(),COLUMN(),4),L!$A:$A,0)-1,SL,,)</f>
        <v xml:space="preserve">Instructions pour répondre aux sept questions relatives à la Déclaration sur la portée (lignes 28 à 107).
Merci de répondre en ANGLAIS uniquement.
</v>
      </c>
      <c r="B23" s="179"/>
    </row>
    <row r="24" spans="1:2" ht="57.75" customHeight="1">
      <c r="A24" s="94" t="str">
        <f ca="1">OFFSET(L!$C$1,MATCH("Instructions"&amp;ADDRESS(ROW(),COLUMN(),4),L!$A:$A,0)-1,SL,,)</f>
        <v>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v>
      </c>
      <c r="B24" s="179"/>
    </row>
    <row r="25" spans="1:2" ht="30.75" customHeight="1">
      <c r="A25" s="94" t="str">
        <f ca="1">OFFSET(L!$C$1,MATCH("Instructions"&amp;ADDRESS(ROW(),COLUMN(),4),L!$A:$A,0)-1,SL,,)</f>
        <v>Si nécessaire, merci d'inscrire vos commentaires dans la section prévue à cet effet afin de clarifier vos réponses</v>
      </c>
      <c r="B25" s="179"/>
    </row>
    <row r="26" spans="1:2" ht="46.5" customHeight="1">
      <c r="A26" s="94" t="str">
        <f ca="1">OFFSET(L!$C$1,MATCH("Instructions"&amp;ADDRESS(ROW(),COLUMN(),4),L!$A:$A,0)-1,SL,,)</f>
        <v>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v>
      </c>
      <c r="B26" s="179"/>
    </row>
    <row r="27" spans="1:2" ht="135">
      <c r="A27" s="93" t="str">
        <f ca="1">OFFSET(L!$C$1,MATCH("Instructions"&amp;ADDRESS(ROW(),COLUMN(),4),L!$A:$A,0)-1,SL,,)</f>
        <v>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v>
      </c>
      <c r="B27" s="179"/>
    </row>
    <row r="28" spans="1:2" ht="36" customHeight="1">
      <c r="A28" s="93" t="str">
        <f ca="1">OFFSET(L!$C$1,MATCH("Instructions"&amp;ADDRESS(ROW(),COLUMN(),4),L!$A:$A,0)-1,SL,,)</f>
        <v>Dans le cas d'une réponse négative, certaines entreprises peuvent exiger des justifications qui devront être saisies dans le champ de commentaire.</v>
      </c>
      <c r="B28" s="179"/>
    </row>
    <row r="29" spans="1:2" ht="180">
      <c r="A29" s="93" t="str">
        <f ca="1">OFFSET(L!$C$1,MATCH("Instructions"&amp;ADDRESS(ROW(),COLUMN(),4),L!$A:$A,0)-1,SL,,)</f>
        <v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v>
      </c>
      <c r="B29" s="179"/>
    </row>
    <row r="30" spans="1:2" ht="120">
      <c r="A30" s="93" t="str">
        <f ca="1">OFFSET(L!$C$1,MATCH("Instructions"&amp;ADDRESS(ROW(),COLUMN(),4),L!$A:$A,0)-1,SL,,)</f>
        <v>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v>
      </c>
      <c r="B30" s="179"/>
    </row>
    <row r="31" spans="1:2" ht="135">
      <c r="A31" s="93" t="str">
        <f ca="1">OFFSET(L!$C$1,MATCH("Instructions"&amp;ADDRESS(ROW(),COLUMN(),4),L!$A:$A,0)-1,SL,,)</f>
        <v>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v>
      </c>
      <c r="B31" s="179"/>
    </row>
    <row r="32" spans="1:2" ht="195">
      <c r="A32" s="93" t="str">
        <f ca="1">OFFSET(L!$C$1,MATCH("Instructions"&amp;ADDRESS(ROW(),COLUMN(),4),L!$A:$A,0)-1,SL,,)</f>
        <v>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v>
      </c>
      <c r="B32" s="179"/>
    </row>
    <row r="33" spans="1:2" ht="60">
      <c r="A33" s="93" t="str">
        <f ca="1">OFFSET(L!$C$1,MATCH("Instructions"&amp;ADDRESS(ROW(),COLUMN(),4),L!$A:$A,0)-1,SL,,)</f>
        <v>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v>
      </c>
      <c r="B33" s="179"/>
    </row>
    <row r="34" spans="1:2" ht="75">
      <c r="A34" s="93" t="str">
        <f ca="1">OFFSET(L!$C$1,MATCH("Instructions"&amp;ADDRESS(ROW(),COLUMN(),4),L!$A:$A,0)-1,SL,,)</f>
        <v>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v>
      </c>
      <c r="B34" s="179"/>
    </row>
    <row r="35" spans="1:2" ht="15">
      <c r="A35" s="228"/>
      <c r="B35" s="179"/>
    </row>
    <row r="36" spans="1:2" ht="68.45" customHeight="1">
      <c r="A36" s="219" t="str">
        <f ca="1">OFFSET(L!$C$1,MATCH("Instructions"&amp;ADDRESS(ROW(),COLUMN(),4),L!$A:$A,0)-1,SL,,)</f>
        <v>Instructions pour les questions A à G (lignes 113 - 137). Les questions A à G sont obligatoires, si la réponse à la question 1 et 2 est « Oui » pour le minerai spécifié.
Répondez en ANGLAIS uniquement</v>
      </c>
      <c r="B36" s="179"/>
    </row>
    <row r="37" spans="1:2" ht="150">
      <c r="A37" s="219"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v>
      </c>
      <c r="B37" s="179"/>
    </row>
    <row r="38" spans="1:2" ht="30">
      <c r="A38" s="93" t="str">
        <f ca="1">OFFSET(L!$C$1,MATCH("Instructions"&amp;ADDRESS(ROW(),COLUMN(),4),L!$A:$A,0)-1,SL,,)</f>
        <v xml:space="preserve">A. Cette déclaration permet de déterminer si une société dispose d'une politique responsable d'approvisionnement en minerais. La réponse à cette question doit être « oui » ou « non ». </v>
      </c>
      <c r="B38" s="179"/>
    </row>
    <row r="39" spans="1:2" ht="45">
      <c r="A39" s="93"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v>
      </c>
      <c r="B39" s="179"/>
    </row>
    <row r="40" spans="1:2" ht="60">
      <c r="A40" s="93" t="str">
        <f ca="1">OFFSET(L!$C$1,MATCH("Instructions"&amp;ADDRESS(ROW(),COLUMN(),4),L!$A:$A,0)-1,SL,,)</f>
        <v>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v>
      </c>
      <c r="B40" s="179"/>
    </row>
    <row r="41" spans="1:2" ht="90">
      <c r="A41" s="93"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1" s="179"/>
    </row>
    <row r="42" spans="1:2" ht="165">
      <c r="A42" s="93"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2" s="179"/>
    </row>
    <row r="43" spans="1:2" ht="120">
      <c r="A43" s="93"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3" s="179"/>
    </row>
    <row r="44" spans="1:2" ht="45">
      <c r="A44" s="93"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4" s="179"/>
    </row>
    <row r="45" spans="1:2" ht="15.95" customHeight="1">
      <c r="A45" s="218"/>
      <c r="B45" s="179"/>
    </row>
    <row r="46" spans="1:2" ht="60">
      <c r="A46" s="94" t="str">
        <f ca="1">OFFSET(L!$C$1,MATCH("Instructions"&amp;ADDRESS(ROW(),COLUMN(),4),L!$A:$A,0)-1,SL,,)</f>
        <v>Instructions pour compléter la liste des fonderies.
Merci de répondre en ANGLAIS uniquement
Remarque: Les colonnes avec un astérisque (*) indiquent des champs obligatoires</v>
      </c>
      <c r="B46" s="179"/>
    </row>
    <row r="47" spans="1:2" ht="63.75" customHeight="1">
      <c r="A47" s="94"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7" s="179"/>
    </row>
    <row r="48" spans="1:2" ht="51.95" customHeight="1">
      <c r="A48" s="93"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79"/>
    </row>
    <row r="49" spans="1:2" ht="43.5" customHeight="1">
      <c r="A49" s="93" t="str">
        <f ca="1">OFFSET(L!$C$1,MATCH("Instructions"&amp;ADDRESS(ROW(),COLUMN(),4),L!$A:$A,0)-1,SL,,)</f>
        <v>2. Métal (*) – Utiliser la liste déroulante pour sélectionner le métal pour lequel vous entrez l’information. Les métaux n'apparaissent que si les questions 1 et 2 reçoivent une réponse « Oui » pour le minerai spécifié. Ce champ est obligatoire.</v>
      </c>
      <c r="B49" s="179"/>
    </row>
    <row r="50" spans="1:2" ht="75">
      <c r="A50" s="93"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79"/>
    </row>
    <row r="51" spans="1:2" ht="45">
      <c r="A51" s="93"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79"/>
    </row>
    <row r="52" spans="1:2" ht="45.75" customHeight="1">
      <c r="A52" s="93"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79"/>
    </row>
    <row r="53" spans="1:2" ht="45">
      <c r="A53" s="93"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79"/>
    </row>
    <row r="54" spans="1:2" ht="45">
      <c r="A54" s="93"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79"/>
    </row>
    <row r="55" spans="1:2" ht="35.450000000000003" customHeight="1">
      <c r="A55" s="93" t="str">
        <f ca="1">OFFSET(L!$C$1,MATCH("Instructions"&amp;ADDRESS(ROW(),COLUMN(),4),L!$A:$A,0)-1,SL,,)</f>
        <v>8. Rue de la fonderie – indique le nom de la rue où est située la fonderie. Ce champ est facultatif.</v>
      </c>
      <c r="B55" s="179"/>
    </row>
    <row r="56" spans="1:2" ht="15">
      <c r="A56" s="93" t="str">
        <f ca="1">OFFSET(L!$C$1,MATCH("Instructions"&amp;ADDRESS(ROW(),COLUMN(),4),L!$A:$A,0)-1,SL,,)</f>
        <v>9. Ville de la fonderie – indique le nom de la ville où est située la fonderie. Ce champ est facultatif.</v>
      </c>
      <c r="B56" s="179"/>
    </row>
    <row r="57" spans="1:2" ht="33.950000000000003" customHeight="1">
      <c r="A57" s="93" t="str">
        <f ca="1">OFFSET(L!$C$1,MATCH("Instructions"&amp;ADDRESS(ROW(),COLUMN(),4),L!$A:$A,0)-1,SL,,)</f>
        <v>10. Emplacement de la fonderie : État/province, le cas échéant – indique l’État ou la province où est située la fonderie. Ce champ est facultatif.</v>
      </c>
      <c r="B57" s="179"/>
    </row>
    <row r="58" spans="1:2" ht="180">
      <c r="A58" s="93"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79"/>
    </row>
    <row r="59" spans="1:2" ht="45">
      <c r="A59" s="93"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79"/>
    </row>
    <row r="60" spans="1:2" ht="90">
      <c r="A60" s="93"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79"/>
    </row>
    <row r="61" spans="1:2" ht="105">
      <c r="A61" s="93"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79"/>
    </row>
    <row r="62" spans="1:2" ht="101.25" customHeight="1">
      <c r="A62" s="93"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79"/>
    </row>
    <row r="63" spans="1:2" ht="30">
      <c r="A63" s="93" t="str">
        <f ca="1">OFFSET(L!$C$1,MATCH("Instructions"&amp;ADDRESS(ROW(),COLUMN(),4),L!$A:$A,0)-1,SL,,)</f>
        <v>16. Commentaires - Zone de texte pour indiquer tout commentaire relatif à la fonderie. Exemple: la fonderie a été achetée par l'entreprise YYY.</v>
      </c>
      <c r="B63" s="179"/>
    </row>
    <row r="64" spans="1:2" ht="15">
      <c r="A64" s="218"/>
      <c r="B64" s="179"/>
    </row>
    <row r="65" spans="1:2" ht="30">
      <c r="A65" s="219" t="str">
        <f ca="1">OFFSET(L!$C$1,MATCH("Instructions"&amp;ADDRESS(ROW(),COLUMN(),4),L!$A:$A,0)-1,SL,,)</f>
        <v>Instructions pour compléter la liste des installations minières
Merci de répondre en ANGLAIS uniquement</v>
      </c>
      <c r="B65" s="179"/>
    </row>
    <row r="66" spans="1:2" ht="30">
      <c r="A66" s="93" t="str">
        <f ca="1">OFFSET(L!$C$1,MATCH("Instructions"&amp;ADDRESS(ROW(),COLUMN(),4),L!$A:$A,0)-1,SL,,)</f>
        <v>1. Métal – Utiliser la liste déroulante pour sélectionner le métal pour lequel vous entrez l’information. Les métaux n'apparaissent que si les questions 1 et 2 reçoivent une réponse « Oui » pour le minerai spécifié.</v>
      </c>
      <c r="B66" s="179"/>
    </row>
    <row r="67" spans="1:2" ht="30">
      <c r="A67" s="93" t="str">
        <f ca="1">OFFSET(L!$C$1,MATCH("Instructions"&amp;ADDRESS(ROW(),COLUMN(),4),L!$A:$A,0)-1,SL,,)</f>
        <v>2. Nom de la ou des fonderie(s) qui s’approvisionnent auprès de cette installation minière : dans la mesure du possible, indiquez le nom de la ou des fonderie(s) qui s’approvisionnent auprès de l’installation minière ou du site minier répertorié.</v>
      </c>
      <c r="B67" s="179"/>
    </row>
    <row r="68" spans="1:2" ht="15">
      <c r="A68" s="93" t="str">
        <f ca="1">OFFSET(L!$C$1,MATCH("Instructions"&amp;ADDRESS(ROW(),COLUMN(),4),L!$A:$A,0)-1,SL,,)</f>
        <v>3. Nom de l’installation minière (site) – indique le nom de l’installation minière tel que vous le connaissez.</v>
      </c>
      <c r="B68" s="179"/>
    </row>
    <row r="69" spans="1:2" ht="45">
      <c r="A69" s="93" t="str">
        <f ca="1">OFFSET(L!$C$1,MATCH("Instructions"&amp;ADDRESS(ROW(),COLUMN(),4),L!$A:$A,0)-1,SL,,)</f>
        <v>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v>
      </c>
      <c r="B69" s="179"/>
    </row>
    <row r="70" spans="1:2" ht="30">
      <c r="A70" s="93" t="str">
        <f ca="1">OFFSET(L!$C$1,MATCH("Instructions"&amp;ADDRESS(ROW(),COLUMN(),4),L!$A:$A,0)-1,SL,,)</f>
        <v>5. Type de l'identifiant de l'installation minière - C'est la source du numéro d'identification de l'installation minière identifiée dans la colonne D.</v>
      </c>
      <c r="B70" s="179"/>
    </row>
    <row r="71" spans="1:2" ht="15">
      <c r="A71" s="93" t="str">
        <f ca="1">OFFSET(L!$C$1,MATCH("Instructions"&amp;ADDRESS(ROW(),COLUMN(),4),L!$A:$A,0)-1,SL,,)</f>
        <v>6. Pays de l'installation minière - Utilisez le menu déroulant pour sélectionner le pays de l'installation minière.</v>
      </c>
      <c r="B71" s="179"/>
    </row>
    <row r="72" spans="1:2" ht="15">
      <c r="A72" s="93" t="str">
        <f ca="1">OFFSET(L!$C$1,MATCH("Instructions"&amp;ADDRESS(ROW(),COLUMN(),4),L!$A:$A,0)-1,SL,,)</f>
        <v>7. Rue de l'installation minière – indique le nom de la rue où est située l'installation minière.</v>
      </c>
      <c r="B72" s="179"/>
    </row>
    <row r="73" spans="1:2" ht="15">
      <c r="A73" s="93" t="str">
        <f ca="1">OFFSET(L!$C$1,MATCH("Instructions"&amp;ADDRESS(ROW(),COLUMN(),4),L!$A:$A,0)-1,SL,,)</f>
        <v>8. Ville de l'installation minière – indique le nom de la ville où est située l'installation minière.</v>
      </c>
      <c r="B73" s="179"/>
    </row>
    <row r="74" spans="1:2" ht="30">
      <c r="A74" s="93" t="str">
        <f ca="1">OFFSET(L!$C$1,MATCH("Instructions"&amp;ADDRESS(ROW(),COLUMN(),4),L!$A:$A,0)-1,SL,,)</f>
        <v>9. Emplacement de l'installation minière : État/province, le cas échéant – indique l’État ou la province où est située l'installation minière.</v>
      </c>
      <c r="B74" s="179"/>
    </row>
    <row r="75" spans="1:2" ht="105">
      <c r="A75" s="93" t="str">
        <f ca="1">OFFSET(L!$C$1,MATCH("Instructions"&amp;ADDRESS(ROW(),COLUMN(),4),L!$A:$A,0)-1,SL,,)</f>
        <v>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v>
      </c>
      <c r="B75" s="179"/>
    </row>
    <row r="76" spans="1:2" ht="45">
      <c r="A76" s="93" t="str">
        <f ca="1">OFFSET(L!$C$1,MATCH("Instructions"&amp;ADDRESS(ROW(),COLUMN(),4),L!$A:$A,0)-1,SL,,)</f>
        <v>11. Adresse Email du contact de l'installation minière - Indiquez l'adresse email du contact que vous avez identifié pour l'installation minière. Exemple: John.Smith@MineXXX.com. Merci de lire les instructions sur le nom du contact de l'installation minière avant de remplir ce champ.</v>
      </c>
      <c r="B76" s="179"/>
    </row>
    <row r="77" spans="1:2" ht="60">
      <c r="A77" s="93" t="str">
        <f ca="1">OFFSET(L!$C$1,MATCH("Instructions"&amp;ADDRESS(ROW(),COLUMN(),4),L!$A:$A,0)-1,SL,,)</f>
        <v>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v>
      </c>
      <c r="B77" s="179"/>
    </row>
    <row r="78" spans="1:2" ht="30">
      <c r="A78" s="93" t="str">
        <f ca="1">OFFSET(L!$C$1,MATCH("Instructions"&amp;ADDRESS(ROW(),COLUMN(),4),L!$A:$A,0)-1,SL,,)</f>
        <v>13. Commentaires - Zone de texte pour indiquer tout commentaire relatif à l'installation minière. Exemple: L'installation minière a été achetée par l'entreprise YYY.</v>
      </c>
      <c r="B78" s="179"/>
    </row>
    <row r="79" spans="1:2" ht="15">
      <c r="A79" s="218"/>
      <c r="B79" s="179"/>
    </row>
    <row r="80" spans="1:2" ht="105">
      <c r="A80" s="219" t="str">
        <f ca="1">OFFSET(L!$C$1,MATCH("Instructions"&amp;ADDRESS(ROW(),COLUMN(),4),L!$A:$A,0)-1,SL,,)</f>
        <v>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v>
      </c>
      <c r="B80" s="179"/>
    </row>
    <row r="81" spans="1:2" ht="15">
      <c r="A81" s="218"/>
      <c r="B81" s="179"/>
    </row>
    <row r="82" spans="1:2" ht="18" customHeight="1">
      <c r="A82" s="94" t="str">
        <f ca="1">OFFSET(L!$C$1,MATCH("Instructions"&amp;ADDRESS(ROW(),COLUMN(),4),L!$A:$A,0)-1,SL,,)</f>
        <v>CONDITIONS GENERALES</v>
      </c>
      <c r="B82" s="179"/>
    </row>
    <row r="83" spans="1:2" ht="120">
      <c r="A83" s="94"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83" s="179"/>
    </row>
    <row r="84" spans="1:2" ht="60">
      <c r="A84" s="94"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84" s="179"/>
    </row>
    <row r="85" spans="1:2" ht="75">
      <c r="A85" s="94"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85" s="179"/>
    </row>
    <row r="86" spans="1:2" ht="135">
      <c r="A86" s="94"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86" s="179"/>
    </row>
    <row r="87" spans="1:2" ht="45">
      <c r="A87" s="94"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87" s="179"/>
    </row>
    <row r="88" spans="1:2" ht="30">
      <c r="A88" s="94" t="str">
        <f ca="1">OFFSET(L!$C$1,MATCH("Instructions"&amp;ADDRESS(ROW(),COLUMN(),4),L!$A:$A,0)-1,SL,,)</f>
        <v>En accédant et en utilisant cette Liste ou l’un des Outils, et en contrepartie de ceux-ci, l’Utilisateur accepte les dispositions précitées.</v>
      </c>
      <c r="B88" s="179"/>
    </row>
    <row r="89" spans="1:2" ht="15">
      <c r="A89" s="93" t="str">
        <f ca="1">OFFSET(L!$C$1,MATCH("General"&amp;"Cpy",L!$A:$A,0)-1,SL,,)</f>
        <v>© 2025 Responsible Minerals Initiative. Tous droits réservés.</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Tous droits réservés.</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DÉFINITION</v>
      </c>
      <c r="D2" s="397"/>
      <c r="E2" s="178"/>
    </row>
    <row r="3" spans="1:8" ht="45">
      <c r="A3" s="176"/>
      <c r="B3" s="177" t="str">
        <f ca="1">OFFSET(L!$C$1,MATCH("Definitions"&amp;ADDRESS(ROW(),COLUMN(),4),L!$A:$A,0)-1,SL,,)</f>
        <v>Personne responsable</v>
      </c>
      <c r="C3" s="177"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97"/>
      <c r="E3" s="179"/>
    </row>
    <row r="4" spans="1:8" ht="60">
      <c r="A4" s="176"/>
      <c r="B4" s="177" t="str">
        <f ca="1">OFFSET(L!$C$1,MATCH("Definitions"&amp;ADDRESS(ROW(),COLUMN(),4),L!$A:$A,0)-1,SL,,)</f>
        <v>Affineur de cobalt</v>
      </c>
      <c r="C4" s="177"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97"/>
      <c r="E4" s="179" t="s">
        <v>13</v>
      </c>
    </row>
    <row r="5" spans="1:8" ht="150">
      <c r="A5" s="176"/>
      <c r="B5" s="177" t="str">
        <f ca="1">OFFSET(L!$C$1,MATCH("Definitions"&amp;ADDRESS(ROW(),COLUMN(),4),L!$A:$A,0)-1,SL,,)</f>
        <v>Zones touchées par des conflits et à haut risque (CAHRA)</v>
      </c>
      <c r="C5" s="177"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97"/>
      <c r="E5" s="179"/>
    </row>
    <row r="6" spans="1:8" ht="75">
      <c r="A6" s="176"/>
      <c r="B6" s="177" t="str">
        <f ca="1">OFFSET(L!$C$1,MATCH("Definitions"&amp;ADDRESS(ROW(),COLUMN(),4),L!$A:$A,0)-1,SL,,)</f>
        <v>Installation de traitement du cuivre*</v>
      </c>
      <c r="C6" s="177" t="str">
        <f ca="1">OFFSET(L!$C$1,MATCH("Definitions"&amp;ADDRESS(ROW(),COLUMN(),4),L!$A:$A,0)-1,SL,,)</f>
        <v>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v>
      </c>
      <c r="D6" s="397"/>
      <c r="E6" s="179"/>
    </row>
    <row r="7" spans="1:8" ht="135">
      <c r="A7" s="176"/>
      <c r="B7" s="177" t="str">
        <f ca="1">OFFSET(L!$C$1,MATCH("Definitions"&amp;ADDRESS(ROW(),COLUMN(),4),L!$A:$A,0)-1,SL,,)</f>
        <v>Déclaration de champ d’application ou de classe</v>
      </c>
      <c r="C7" s="177"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7" s="397"/>
      <c r="E7" s="179" t="s">
        <v>14</v>
      </c>
    </row>
    <row r="8" spans="1:8" ht="91.5" customHeight="1">
      <c r="A8" s="176"/>
      <c r="B8" s="177" t="str">
        <f ca="1">OFFSET(L!$C$1,MATCH("Definitions"&amp;ADDRESS(ROW(),COLUMN(),4),L!$A:$A,0)-1,SL,,)</f>
        <v>Diligence raisonnable</v>
      </c>
      <c r="C8" s="177"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8" s="397"/>
      <c r="E8" s="179"/>
    </row>
    <row r="9" spans="1:8" ht="75">
      <c r="A9" s="176"/>
      <c r="B9" s="177" t="str">
        <f ca="1">OFFSET(L!$C$1,MATCH("Definitions"&amp;ADDRESS(ROW(),COLUMN(),4),L!$A:$A,0)-1,SL,,)</f>
        <v>Graphite naturel*</v>
      </c>
      <c r="C9" s="177" t="str">
        <f ca="1">OFFSET(L!$C$1,MATCH("Definitions"&amp;ADDRESS(ROW(),COLUMN(),4),L!$A:$A,0)-1,SL,,)</f>
        <v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v>
      </c>
      <c r="D9" s="397"/>
      <c r="E9" s="179" t="s">
        <v>15</v>
      </c>
    </row>
    <row r="10" spans="1:8" ht="75">
      <c r="A10" s="176"/>
      <c r="B10" s="177" t="str">
        <f ca="1">OFFSET(L!$C$1,MATCH("Definitions"&amp;ADDRESS(ROW(),COLUMN(),4),L!$A:$A,0)-1,SL,,)</f>
        <v>Producteur de graphite*</v>
      </c>
      <c r="C10" s="177" t="str">
        <f ca="1">OFFSET(L!$C$1,MATCH("Definitions"&amp;ADDRESS(ROW(),COLUMN(),4),L!$A:$A,0)-1,SL,,)</f>
        <v>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v>
      </c>
      <c r="D10" s="397"/>
      <c r="E10" s="179" t="s">
        <v>16</v>
      </c>
    </row>
    <row r="11" spans="1:8" ht="75">
      <c r="A11" s="176"/>
      <c r="B11" s="177" t="str">
        <f ca="1">OFFSET(L!$C$1,MATCH("Definitions"&amp;ADDRESS(ROW(),COLUMN(),4),L!$A:$A,0)-1,SL,,)</f>
        <v>Cabinet d’audit indépendant du secteur privé</v>
      </c>
      <c r="C11" s="177"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11" s="397"/>
      <c r="E11" s="179" t="s">
        <v>15</v>
      </c>
      <c r="H11" s="156">
        <v>14</v>
      </c>
    </row>
    <row r="12" spans="1:8" ht="45">
      <c r="A12" s="176"/>
      <c r="B12" s="177" t="str">
        <f ca="1">OFFSET(L!$C$1,MATCH("Definitions"&amp;ADDRESS(ROW(),COLUMN(),4),L!$A:$A,0)-1,SL,,)</f>
        <v>Ajouté intentionnellement</v>
      </c>
      <c r="C12" s="177"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v>
      </c>
      <c r="D12" s="397"/>
      <c r="E12" s="179"/>
    </row>
    <row r="13" spans="1:8" ht="105">
      <c r="A13" s="176"/>
      <c r="B13" s="177" t="str">
        <f ca="1">OFFSET(L!$C$1,MATCH("Definitions"&amp;ADDRESS(ROW(),COLUMN(),4),L!$A:$A,0)-1,SL,,)</f>
        <v>Installation de traitement du lithium*</v>
      </c>
      <c r="C13" s="177" t="str">
        <f ca="1">OFFSET(L!$C$1,MATCH("Definitions"&amp;ADDRESS(ROW(),COLUMN(),4),L!$A:$A,0)-1,SL,,)</f>
        <v>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v>
      </c>
      <c r="D13" s="397"/>
      <c r="E13" s="179"/>
    </row>
    <row r="14" spans="1:8" ht="150">
      <c r="A14" s="176"/>
      <c r="B14" s="177" t="str">
        <f ca="1">OFFSET(L!$C$1,MATCH("Definitions"&amp;ADDRESS(ROW(),COLUMN(),4),L!$A:$A,0)-1,SL,,)</f>
        <v>OCDE</v>
      </c>
      <c r="C14" s="177"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4" s="397"/>
      <c r="E14" s="179"/>
    </row>
    <row r="15" spans="1:8" ht="30">
      <c r="A15" s="176"/>
      <c r="B15" s="177" t="str">
        <f ca="1">OFFSET(L!$C$1,MATCH("Definitions"&amp;ADDRESS(ROW(),COLUMN(),4),L!$A:$A,0)-1,SL,,)</f>
        <v>Mica (Naturel)</v>
      </c>
      <c r="C15" s="177" t="str">
        <f ca="1">OFFSET(L!$C$1,MATCH("Definitions"&amp;ADDRESS(ROW(),COLUMN(),4),L!$A:$A,0)-1,SL,,)</f>
        <v>Le mica naturel est un minerai exploité ou d'origine naturelle comme la muscovite et le phlogopite.</v>
      </c>
      <c r="D15" s="397"/>
      <c r="E15" s="179"/>
    </row>
    <row r="16" spans="1:8" ht="45">
      <c r="A16" s="176"/>
      <c r="B16" s="177" t="str">
        <f ca="1">OFFSET(L!$C$1,MATCH("Definitions"&amp;ADDRESS(ROW(),COLUMN(),4),L!$A:$A,0)-1,SL,,)</f>
        <v>Mica (Synthétique)</v>
      </c>
      <c r="C16" s="177" t="str">
        <f ca="1">OFFSET(L!$C$1,MATCH("Definitions"&amp;ADDRESS(ROW(),COLUMN(),4),L!$A:$A,0)-1,SL,,)</f>
        <v>Le mica synthétique (fluorophlogopite) est un matériau synthétique composé de matériaux tels que le magnésium, l’aluminium et le silicium.</v>
      </c>
      <c r="D16" s="397"/>
      <c r="E16" s="179" t="s">
        <v>15</v>
      </c>
    </row>
    <row r="17" spans="1:5" ht="90">
      <c r="A17" s="176"/>
      <c r="B17" s="177" t="str">
        <f ca="1">OFFSET(L!$C$1,MATCH("Definitions"&amp;ADDRESS(ROW(),COLUMN(),4),L!$A:$A,0)-1,SL,,)</f>
        <v>Processeur de mica</v>
      </c>
      <c r="C17" s="177"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7" s="397"/>
      <c r="E17" s="179"/>
    </row>
    <row r="18" spans="1:5" ht="105">
      <c r="A18" s="176"/>
      <c r="B18" s="177" t="str">
        <f ca="1">OFFSET(L!$C$1,MATCH("Definitions"&amp;ADDRESS(ROW(),COLUMN(),4),L!$A:$A,0)-1,SL,,)</f>
        <v>Installation de traitement du nickel*</v>
      </c>
      <c r="C18" s="177" t="str">
        <f ca="1">OFFSET(L!$C$1,MATCH("Definitions"&amp;ADDRESS(ROW(),COLUMN(),4),L!$A:$A,0)-1,SL,,)</f>
        <v>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v>
      </c>
      <c r="D18" s="397"/>
      <c r="E18" s="179"/>
    </row>
    <row r="19" spans="1:5" ht="120">
      <c r="A19" s="176"/>
      <c r="B19" s="177" t="str">
        <f ca="1">OFFSET(L!$C$1,MATCH("Definitions"&amp;ADDRESS(ROW(),COLUMN(),4),L!$A:$A,0)-1,SL,,)</f>
        <v>Transformateur</v>
      </c>
      <c r="C19" s="177" t="str">
        <f ca="1">OFFSET(L!$C$1,MATCH("Definitions"&amp;ADDRESS(ROW(),COLUMN(),4),L!$A:$A,0)-1,SL,,)</f>
        <v>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v>
      </c>
      <c r="D19" s="397"/>
      <c r="E19" s="179"/>
    </row>
    <row r="20" spans="1:5" ht="30">
      <c r="A20" s="176"/>
      <c r="B20" s="177" t="str">
        <f ca="1">OFFSET(L!$C$1,MATCH("Definitions"&amp;ADDRESS(ROW(),COLUMN(),4),L!$A:$A,0)-1,SL,,)</f>
        <v>Produit</v>
      </c>
      <c r="C20" s="177" t="str">
        <f ca="1">OFFSET(L!$C$1,MATCH("Definitions"&amp;ADDRESS(ROW(),COLUMN(),4),L!$A:$A,0)-1,SL,,)</f>
        <v>Le produit fini d’une entreprise est un matériel ou un élément qui est arrivé au stade final de sa fabrication et est disponible pour la distribution ou la vente aux clients.</v>
      </c>
      <c r="D20" s="397"/>
      <c r="E20" s="179"/>
    </row>
    <row r="21" spans="1:5" ht="135">
      <c r="A21" s="176"/>
      <c r="B21" s="177" t="str">
        <f ca="1">OFFSET(L!$C$1,MATCH("Definitions"&amp;ADDRESS(ROW(),COLUMN(),4),L!$A:$A,0)-1,SL,,)</f>
        <v>Sources de produits recyclés ou déchets</v>
      </c>
      <c r="C21" s="177"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
Remarque : À la date de cette publication, il n’existe pas de recyclage important de mica après utilisation.</v>
      </c>
      <c r="D21" s="397"/>
      <c r="E21" s="179" t="s">
        <v>15</v>
      </c>
    </row>
    <row r="22" spans="1:5" ht="75">
      <c r="A22" s="176"/>
      <c r="B22" s="177" t="str">
        <f ca="1">OFFSET(L!$C$1,MATCH("Definitions"&amp;ADDRESS(ROW(),COLUMN(),4),L!$A:$A,0)-1,SL,,)</f>
        <v>Responsible Business Alliance (RBA)</v>
      </c>
      <c r="C22" s="177" t="str">
        <f ca="1">OFFSET(L!$C$1,MATCH("Definitions"&amp;ADDRESS(ROW(),COLUMN(),4),L!$A:$A,0)-1,SL,,)</f>
        <v>La Responsible Business Alliance, fondée en 2004, est la plus grande coalition industrielle dédiée à la responsabilité de la chaîne d'approvisionnement électronique.
(http://www.responsiblebusiness.org)</v>
      </c>
      <c r="D22" s="397"/>
      <c r="E22" s="179" t="s">
        <v>16</v>
      </c>
    </row>
    <row r="23" spans="1:5" ht="60">
      <c r="A23" s="176"/>
      <c r="B23" s="177" t="str">
        <f ca="1">OFFSET(L!$C$1,MATCH("Definitions"&amp;ADDRESS(ROW(),COLUMN(),4),L!$A:$A,0)-1,SL,,)</f>
        <v>Processus d’assurance des minéraux responsables (RMAP)</v>
      </c>
      <c r="C23" s="177"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97"/>
      <c r="E23" s="179"/>
    </row>
    <row r="24" spans="1:5" ht="195">
      <c r="A24" s="176"/>
      <c r="B24" s="177" t="str">
        <f ca="1">OFFSET(L!$C$1,MATCH("Definitions"&amp;ADDRESS(ROW(),COLUMN(),4),L!$A:$A,0)-1,SL,,)</f>
        <v>Initiative pour des minerais responsables (RMI)</v>
      </c>
      <c r="C24" s="177"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24" s="397"/>
      <c r="E24" s="179" t="s">
        <v>15</v>
      </c>
    </row>
    <row r="25" spans="1:5" ht="165">
      <c r="A25" s="176"/>
      <c r="B25" s="177" t="str">
        <f ca="1">OFFSET(L!$C$1,MATCH("Definitions"&amp;ADDRESS(ROW(),COLUMN(),4),L!$A:$A,0)-1,SL,,)</f>
        <v>Liste de fonderies conformes RMAP</v>
      </c>
      <c r="C25" s="177"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25" s="397"/>
      <c r="E25" s="179" t="s">
        <v>13</v>
      </c>
    </row>
    <row r="26" spans="1:5" ht="90">
      <c r="A26" s="176"/>
      <c r="B26" s="177" t="str">
        <f ca="1">OFFSET(L!$C$1,MATCH("Definitions"&amp;ADDRESS(ROW(),COLUMN(),4),L!$A:$A,0)-1,SL,,)</f>
        <v>Fonderie</v>
      </c>
      <c r="C26" s="177"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6" s="397"/>
      <c r="E26" s="179"/>
    </row>
    <row r="27" spans="1:5" ht="60">
      <c r="A27" s="176"/>
      <c r="B27" s="177" t="str">
        <f ca="1">OFFSET(L!$C$1,MATCH("Definitions"&amp;ADDRESS(ROW(),COLUMN(),4),L!$A:$A,0)-1,SL,,)</f>
        <v>Numéro d’identification d’une fonderie</v>
      </c>
      <c r="C27" s="177"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7" s="397"/>
      <c r="E27" s="179"/>
    </row>
    <row r="28" spans="1:5" ht="15">
      <c r="A28" s="176"/>
      <c r="B28" s="399" t="str">
        <f ca="1">OFFSET(L!$C$1,MATCH("Definitions"&amp;ADDRESS(ROW(),COLUMN(),4),L!$A:$A,0)-1,SL,,)</f>
        <v>* Pour en savoir plus sur les sources primaires et secondaires de ce minerai, veuillez consulter le guide de finalisation de l’EMRT.</v>
      </c>
      <c r="C28" s="399"/>
      <c r="D28" s="397"/>
      <c r="E28" s="179"/>
    </row>
    <row r="29" spans="1:5" ht="15">
      <c r="A29" s="176"/>
      <c r="B29" s="396" t="str">
        <f ca="1">OFFSET(L!$C$1,MATCH("General"&amp;"Cpy",L!$A:$A,0)-1,SL,,)</f>
        <v>© 2025 Responsible Minerals Initiative. Tous droits réservés.</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B26" zoomScaleNormal="100" workbookViewId="0">
      <selection activeCell="D137" sqref="D137:E13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Modèle de rapport sur les minerais élargi (Extended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366</v>
      </c>
      <c r="E3" s="439"/>
      <c r="F3" s="440"/>
      <c r="G3" s="440"/>
      <c r="H3" s="440"/>
      <c r="I3" s="440"/>
      <c r="J3" s="190" t="s">
        <v>19342</v>
      </c>
      <c r="K3" s="29"/>
      <c r="L3" s="102"/>
      <c r="P3" s="38">
        <f>MATCH($D$3,LN,0)</f>
        <v>5</v>
      </c>
    </row>
    <row r="4" spans="1:34" ht="15.75">
      <c r="A4" s="27"/>
      <c r="B4" s="415" t="str">
        <f ca="1">OFFSET(L!$C$1,MATCH("Declaration"&amp;ADDRESS(ROW(),COLUMN(),4),L!$A:$A,0)-1,SL,,)</f>
        <v>Le but de ce document est de collecter des informations sur la provenance du cobalt ou du mica naturel.</v>
      </c>
      <c r="C4" s="415"/>
      <c r="D4" s="415"/>
      <c r="E4" s="415"/>
      <c r="F4" s="415"/>
      <c r="G4" s="415"/>
      <c r="H4" s="415"/>
      <c r="I4" s="419" t="str">
        <f ca="1">OFFSET(L!$C$1,MATCH("Declaration"&amp;ADDRESS(ROW(),COLUMN(),4),L!$A:$A,0)-1,SL,,)</f>
        <v>Lien vers les Conditions générales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Les champs obligatoires sont indiqués par un astérisque (*). Consultez l’onglet Instructions pour savoir comment répondre à chaque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Informations sur l’entreprise</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Nom de l’entreprise (*)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Périmètre de la déclaration (*) :</v>
      </c>
      <c r="C9" s="66"/>
      <c r="D9" s="442" t="s">
        <v>19</v>
      </c>
      <c r="E9" s="443"/>
      <c r="F9" s="443"/>
      <c r="G9" s="444"/>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du périmètre :</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Choisissez le champ d'application de la déclaration des minerais de votre entreprise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Identifiant unique de l’entreprise :</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Autorité délivrant l’identifiant unique :</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 :</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Nom du contact (*)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du contact (*) :</v>
      </c>
      <c r="C20" s="67"/>
      <c r="D20" s="481" t="s">
        <v>20054</v>
      </c>
      <c r="E20" s="482"/>
      <c r="F20" s="482"/>
      <c r="G20" s="482"/>
      <c r="H20" s="482"/>
      <c r="I20" s="482"/>
      <c r="J20" s="48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ustomHeight="1">
      <c r="A21" s="31"/>
      <c r="B21" s="33" t="str">
        <f ca="1">OFFSET(L!$C$1,MATCH("Declaration"&amp;ADDRESS(ROW(),COLUMN(),4),L!$A:$A,0)-1,SL,,)</f>
        <v>Téléphone du contact (*)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Nom de la personne responsable de la déclaration (*) :</v>
      </c>
      <c r="C22" s="67"/>
      <c r="D22" s="412" t="s">
        <v>20053</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Titre du responsable :</v>
      </c>
      <c r="C23" s="67"/>
      <c r="D23" s="412" t="s">
        <v>20056</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du responsable (*) :</v>
      </c>
      <c r="C24" s="67"/>
      <c r="D24" s="481" t="s">
        <v>20054</v>
      </c>
      <c r="E24" s="482"/>
      <c r="F24" s="482"/>
      <c r="G24" s="482"/>
      <c r="H24" s="482"/>
      <c r="I24" s="482"/>
      <c r="J24" s="48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Téléphone du responsable :</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Date de la déclaration (*) :</v>
      </c>
      <c r="C26" s="68"/>
      <c r="D26" s="437">
        <v>45859</v>
      </c>
      <c r="E26" s="438"/>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6"/>
      <c r="E27" s="446"/>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7" t="str">
        <f ca="1">OFFSET(L!$C$1,MATCH("Declaration"&amp;ADDRESS(ROW(),COLUMN(),4),L!$A:$A,0)-1,SL,,)</f>
        <v>Répondre aux questions 1 à 7 suivantes pour le périmètre de la déclaration indiqué ci-dessus</v>
      </c>
      <c r="C28" s="447"/>
      <c r="D28" s="447"/>
      <c r="E28" s="447"/>
      <c r="F28" s="447"/>
      <c r="G28" s="447"/>
      <c r="H28" s="447"/>
      <c r="I28" s="447"/>
      <c r="J28" s="447"/>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Du minerai spécifié est-il intentionnellement ajouté ou utilisé dans le(s) produit(s) ou les processus de production ?</v>
      </c>
      <c r="C29" s="13"/>
      <c r="D29" s="445" t="str">
        <f ca="1">OFFSET(L!$C$1,MATCH("Declaration"&amp;ADDRESS(ROW(),COLUMN(),4),L!$A:$A,0)-1,SL,,)</f>
        <v>Réponse</v>
      </c>
      <c r="E29" s="445"/>
      <c r="F29" s="14"/>
      <c r="G29" s="37" t="str">
        <f ca="1">OFFSET(L!$C$1,MATCH("Declaration"&amp;ADDRESS(ROW(),COLUMN(),4),L!$A:$A,0)-1,SL,,)</f>
        <v>Commentaires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4" t="s">
        <v>25</v>
      </c>
      <c r="E30" s="435"/>
      <c r="F30" s="8"/>
      <c r="G30" s="400" t="s">
        <v>20058</v>
      </c>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4" t="s">
        <v>25</v>
      </c>
      <c r="E31" s="435"/>
      <c r="F31" s="8"/>
      <c r="G31" s="400" t="s">
        <v>20057</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4" t="s">
        <v>22</v>
      </c>
      <c r="E32" s="435"/>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4" t="s">
        <v>22</v>
      </c>
      <c r="E33" s="435"/>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4" t="s">
        <v>22</v>
      </c>
      <c r="E34" s="435"/>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4" t="s">
        <v>25</v>
      </c>
      <c r="E35" s="435"/>
      <c r="F35" s="8"/>
      <c r="G35" s="400" t="s">
        <v>20057</v>
      </c>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4"/>
      <c r="E36" s="435"/>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4"/>
      <c r="E37" s="435"/>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4"/>
      <c r="E38" s="435"/>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4"/>
      <c r="E39" s="435"/>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Reste-t-il du minerai spécifié dans le(s) produit(s) ? (*)(*)</v>
      </c>
      <c r="C41" s="13"/>
      <c r="D41" s="436" t="str">
        <f ca="1">D29</f>
        <v>Réponse</v>
      </c>
      <c r="E41" s="436"/>
      <c r="F41" s="14"/>
      <c r="G41" s="37" t="str">
        <f ca="1">G29</f>
        <v>Commentaires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4" t="s">
        <v>25</v>
      </c>
      <c r="E42" s="435"/>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4" t="s">
        <v>25</v>
      </c>
      <c r="E43" s="435"/>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4"/>
      <c r="E44" s="435"/>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34"/>
      <c r="E45" s="435"/>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4"/>
      <c r="E46" s="435"/>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4" t="s">
        <v>25</v>
      </c>
      <c r="E47" s="435"/>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4"/>
      <c r="E48" s="435"/>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4"/>
      <c r="E49" s="435"/>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4"/>
      <c r="E50" s="435"/>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4"/>
      <c r="E51" s="435"/>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ustomHeight="1">
      <c r="A53" s="34"/>
      <c r="B53" s="37" t="str">
        <f ca="1">OFFSET(L!$C$1,MATCH("Declaration"&amp;ADDRESS(ROW(),COLUMN(),4),L!$A:$A,0)-1,SL,,)&amp;Q53</f>
        <v>3) Est-ce que l’une des fonderies ou des transformateurs de votre chaîne d’approvisionnement se fournit en minerai spécifié dans une zone touchée par des conflits et à haut risque ? (Directive de l’OCDE sur la diligence raisonnable, voir l’onglet Définitions)(*)</v>
      </c>
      <c r="C53" s="6"/>
      <c r="D53" s="436" t="str">
        <f ca="1">D29</f>
        <v>Réponse</v>
      </c>
      <c r="E53" s="436"/>
      <c r="F53" s="14"/>
      <c r="G53" s="37" t="str">
        <f ca="1">G29</f>
        <v>Commentaires</v>
      </c>
      <c r="H53" s="441"/>
      <c r="I53" s="441"/>
      <c r="J53" s="441"/>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4" t="s">
        <v>22</v>
      </c>
      <c r="E54" s="435"/>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4" t="s">
        <v>22</v>
      </c>
      <c r="E55" s="435"/>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4"/>
      <c r="E56" s="435"/>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4"/>
      <c r="E57" s="435"/>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4"/>
      <c r="E58" s="435"/>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4" t="s">
        <v>22</v>
      </c>
      <c r="E59" s="435"/>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4"/>
      <c r="E60" s="435"/>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4"/>
      <c r="E61" s="435"/>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4"/>
      <c r="E62" s="435"/>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4"/>
      <c r="E63" s="435"/>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Est-ce que 100 % du minerai spécifié provient de sources recyclées ou de déchets ?(*)</v>
      </c>
      <c r="C65" s="6"/>
      <c r="D65" s="436" t="str">
        <f ca="1">D29</f>
        <v>Réponse</v>
      </c>
      <c r="E65" s="436"/>
      <c r="F65" s="14"/>
      <c r="G65" s="37" t="str">
        <f ca="1">G29</f>
        <v>Commentaires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4" t="s">
        <v>22</v>
      </c>
      <c r="E66" s="435"/>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4" t="s">
        <v>22</v>
      </c>
      <c r="E67" s="435"/>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4"/>
      <c r="E68" s="435"/>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4"/>
      <c r="E69" s="435"/>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4"/>
      <c r="E70" s="435"/>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4" t="s">
        <v>22</v>
      </c>
      <c r="E71" s="435"/>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4"/>
      <c r="E72" s="435"/>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4"/>
      <c r="E73" s="435"/>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4"/>
      <c r="E74" s="435"/>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4"/>
      <c r="E75" s="435"/>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Combien de fournisseurs concernés (en %) ont répondu à l’enquête sur la chaîne d’approvisionnement ?(*)</v>
      </c>
      <c r="C77" s="6"/>
      <c r="D77" s="436" t="str">
        <f ca="1">D29</f>
        <v>Réponse</v>
      </c>
      <c r="E77" s="436"/>
      <c r="F77" s="14"/>
      <c r="G77" s="37" t="str">
        <f ca="1">G29</f>
        <v>Commentaires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4" t="s">
        <v>28</v>
      </c>
      <c r="E78" s="435"/>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4" t="s">
        <v>30</v>
      </c>
      <c r="E79" s="435"/>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4"/>
      <c r="E80" s="435"/>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4"/>
      <c r="E81" s="435"/>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4"/>
      <c r="E82" s="435"/>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4" t="s">
        <v>30</v>
      </c>
      <c r="E83" s="435"/>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4"/>
      <c r="E84" s="435"/>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4"/>
      <c r="E85" s="435"/>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4"/>
      <c r="E86" s="435"/>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4"/>
      <c r="E87" s="435"/>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Avez-vous identifié toutes les fonderies et transformateurs qui fournissent le minerai spécifié à votre chaîne d’approvisionnement ?(*)</v>
      </c>
      <c r="C89" s="6"/>
      <c r="D89" s="436" t="str">
        <f ca="1">D29</f>
        <v>Réponse</v>
      </c>
      <c r="E89" s="436"/>
      <c r="F89" s="14"/>
      <c r="G89" s="37" t="str">
        <f ca="1">G29</f>
        <v>Commentaires</v>
      </c>
      <c r="H89" s="448"/>
      <c r="I89" s="448"/>
      <c r="J89" s="448"/>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4" t="s">
        <v>22</v>
      </c>
      <c r="E90" s="435"/>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4" t="s">
        <v>22</v>
      </c>
      <c r="E91" s="435"/>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4"/>
      <c r="E92" s="435"/>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4"/>
      <c r="E93" s="435"/>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4"/>
      <c r="E94" s="435"/>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4" t="s">
        <v>22</v>
      </c>
      <c r="E95" s="435"/>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4"/>
      <c r="E96" s="435"/>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4"/>
      <c r="E97" s="435"/>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4"/>
      <c r="E98" s="435"/>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4"/>
      <c r="E99" s="435"/>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Est-ce que toutes les informations pertinentes reçues des fonderies et transformateurs par votre société ont été mentionnées dans cette déclaration ?(*)</v>
      </c>
      <c r="C101" s="6"/>
      <c r="D101" s="436" t="str">
        <f ca="1">D29</f>
        <v>Réponse</v>
      </c>
      <c r="E101" s="436"/>
      <c r="F101" s="14"/>
      <c r="G101" s="37" t="str">
        <f ca="1">G29</f>
        <v>Commentaires</v>
      </c>
      <c r="H101" s="448" t="str">
        <f>IF(Q115="(*)","Click here to enter smelter names","")</f>
        <v/>
      </c>
      <c r="I101" s="448"/>
      <c r="J101" s="44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4" t="s">
        <v>25</v>
      </c>
      <c r="E102" s="435"/>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4" t="s">
        <v>25</v>
      </c>
      <c r="E103" s="435"/>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4"/>
      <c r="E104" s="435"/>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4"/>
      <c r="E105" s="435"/>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4"/>
      <c r="E106" s="435"/>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4" t="s">
        <v>25</v>
      </c>
      <c r="E107" s="435"/>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4"/>
      <c r="E108" s="435"/>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4"/>
      <c r="E109" s="435"/>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4"/>
      <c r="E110" s="435"/>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4"/>
      <c r="E111" s="435"/>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49" t="str">
        <f ca="1">OFFSET(L!$C$1,MATCH("Declaration"&amp;ADDRESS(ROW(),COLUMN(),4),L!$A:$A,0)-1,SL,,)</f>
        <v>Répondre à la question suivante au niveau de l’entreprise</v>
      </c>
      <c r="C113" s="449"/>
      <c r="D113" s="449"/>
      <c r="E113" s="449"/>
      <c r="F113" s="449"/>
      <c r="G113" s="449"/>
      <c r="H113" s="449"/>
      <c r="I113" s="449"/>
      <c r="J113" s="449"/>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5" t="str">
        <f ca="1">D29</f>
        <v>Réponse</v>
      </c>
      <c r="E114" s="445"/>
      <c r="F114" s="46"/>
      <c r="G114" s="445" t="str">
        <f ca="1">G29</f>
        <v>Commentaires</v>
      </c>
      <c r="H114" s="445" t="e">
        <f>HLOOKUP(SL,LT,$O114,0)</f>
        <v>#NAME?</v>
      </c>
      <c r="I114" s="445"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Avez-vous mis en place une politique responsable d’approvisionnement en minerais ?(*)</v>
      </c>
      <c r="C115" s="50"/>
      <c r="D115" s="434" t="s">
        <v>25</v>
      </c>
      <c r="E115" s="435"/>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0"/>
      <c r="H116" s="450"/>
      <c r="I116" s="450"/>
      <c r="J116" s="45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Votre politique responsable d’approvisionnement en minerais est-elle disponible sur votre site Web ? (remarque : si oui, l'utilisateur doit spécifier l'URL dans le champ commentaire.)(*)</v>
      </c>
      <c r="C117" s="50"/>
      <c r="D117" s="434" t="s">
        <v>22</v>
      </c>
      <c r="E117" s="435"/>
      <c r="F117" s="50"/>
      <c r="G117" s="451"/>
      <c r="H117" s="452"/>
      <c r="I117" s="452"/>
      <c r="J117" s="45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Est-ce que vous imposez à vos fournisseurs directs de s’approvisionner en minerai spécifié auprès de fonderies dont les pratiques de diligence raisonnable ont été validées par un programme d’audit externe indépendant ?(*)</v>
      </c>
      <c r="C119" s="230"/>
      <c r="D119" s="454"/>
      <c r="E119" s="454"/>
      <c r="F119" s="233"/>
      <c r="G119" s="455"/>
      <c r="H119" s="455"/>
      <c r="I119" s="455"/>
      <c r="J119" s="45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4" t="s">
        <v>25</v>
      </c>
      <c r="E120" s="435"/>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4" t="s">
        <v>25</v>
      </c>
      <c r="E121" s="435"/>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4"/>
      <c r="E122" s="435"/>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4"/>
      <c r="E123" s="435"/>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4"/>
      <c r="E124" s="435"/>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4" t="s">
        <v>25</v>
      </c>
      <c r="E125" s="435"/>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4"/>
      <c r="E126" s="435"/>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4"/>
      <c r="E127" s="435"/>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4"/>
      <c r="E128" s="435"/>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4"/>
      <c r="E129" s="435"/>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Exigez-vous des pratiques de diligence raisonnable concernant l'approvisionnement responsable ?(*)</v>
      </c>
      <c r="C131" s="50"/>
      <c r="D131" s="434" t="s">
        <v>22</v>
      </c>
      <c r="E131" s="435"/>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Votre société réalise-t-elle des enquêtes sur la chaîne d’approvisionnement en minerai spécifié de votre ou vos fournisseurs concernés ?(*)</v>
      </c>
      <c r="C133" s="50"/>
      <c r="D133" s="459" t="s">
        <v>32</v>
      </c>
      <c r="E133" s="460"/>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0"/>
      <c r="H134" s="450"/>
      <c r="I134" s="450"/>
      <c r="J134" s="45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Comparez-vous les informations de diligence raisonnable reçues de vos fournisseurs aux attentes de votre société ?(*)</v>
      </c>
      <c r="C135" s="50"/>
      <c r="D135" s="434" t="s">
        <v>25</v>
      </c>
      <c r="E135" s="435"/>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1"/>
      <c r="H136" s="461"/>
      <c r="I136" s="461"/>
      <c r="J136" s="46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Votre processus d’examen comprend-il la gestion des mesures correctives ?(*)</v>
      </c>
      <c r="C137" s="50"/>
      <c r="D137" s="434" t="s">
        <v>25</v>
      </c>
      <c r="E137" s="435"/>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6" t="str">
        <f>IF(OR($D$8="",$I$3=""),"","Click here to check required fields completion")</f>
        <v/>
      </c>
      <c r="C138" s="456"/>
      <c r="D138" s="456"/>
      <c r="E138" s="456"/>
      <c r="F138" s="456"/>
      <c r="G138" s="456"/>
      <c r="H138" s="456"/>
      <c r="I138" s="456"/>
      <c r="J138" s="456"/>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7" t="str">
        <f ca="1">OFFSET(L!$C$1,MATCH("General"&amp;"Cpy",L!$A:$A,0)-1,SL,,)</f>
        <v>© 2025 Responsible Minerals Initiative. Tous droits réservés.</v>
      </c>
      <c r="B139" s="458"/>
      <c r="C139" s="458"/>
      <c r="D139" s="458"/>
      <c r="E139" s="458"/>
      <c r="F139" s="458"/>
      <c r="G139" s="458"/>
      <c r="H139" s="458"/>
      <c r="I139" s="458"/>
      <c r="J139" s="458"/>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5" priority="311" stopIfTrue="1">
      <formula>IF($B$30="",TRUE)</formula>
    </cfRule>
  </conditionalFormatting>
  <conditionalFormatting sqref="B31">
    <cfRule type="expression" dxfId="344" priority="309">
      <formula>IF($B$31="",TRUE)</formula>
    </cfRule>
  </conditionalFormatting>
  <conditionalFormatting sqref="B32">
    <cfRule type="expression" dxfId="343" priority="308">
      <formula>IF($B$32="",TRUE)</formula>
    </cfRule>
  </conditionalFormatting>
  <conditionalFormatting sqref="B33">
    <cfRule type="expression" dxfId="342" priority="307">
      <formula>IF($B$33="",TRUE)</formula>
    </cfRule>
  </conditionalFormatting>
  <conditionalFormatting sqref="B34">
    <cfRule type="expression" dxfId="341" priority="306">
      <formula>IF($B$34="",TRUE)</formula>
    </cfRule>
  </conditionalFormatting>
  <conditionalFormatting sqref="B35">
    <cfRule type="expression" dxfId="340" priority="305">
      <formula>IF($B$35="",TRUE)</formula>
    </cfRule>
  </conditionalFormatting>
  <conditionalFormatting sqref="B36">
    <cfRule type="expression" dxfId="339" priority="304">
      <formula>IF($B$36="",TRUE)</formula>
    </cfRule>
  </conditionalFormatting>
  <conditionalFormatting sqref="B37">
    <cfRule type="expression" dxfId="338" priority="303">
      <formula>IF($B$37="",TRUE)</formula>
    </cfRule>
  </conditionalFormatting>
  <conditionalFormatting sqref="B38">
    <cfRule type="expression" dxfId="337" priority="302">
      <formula>IF($B$38="",TRUE)</formula>
    </cfRule>
  </conditionalFormatting>
  <conditionalFormatting sqref="B39">
    <cfRule type="expression" dxfId="336" priority="301">
      <formula>IF($B$39="",TRUE)</formula>
    </cfRule>
  </conditionalFormatting>
  <conditionalFormatting sqref="B42">
    <cfRule type="expression" dxfId="335" priority="283" stopIfTrue="1">
      <formula>IF($B$42="",TRUE)</formula>
    </cfRule>
  </conditionalFormatting>
  <conditionalFormatting sqref="B43">
    <cfRule type="expression" dxfId="334" priority="282" stopIfTrue="1">
      <formula>IF($B$43="",TRUE)</formula>
    </cfRule>
  </conditionalFormatting>
  <conditionalFormatting sqref="B44">
    <cfRule type="expression" dxfId="333" priority="281" stopIfTrue="1">
      <formula>IF($B$44="",TRUE)</formula>
    </cfRule>
  </conditionalFormatting>
  <conditionalFormatting sqref="B45">
    <cfRule type="expression" dxfId="332" priority="280" stopIfTrue="1">
      <formula>IF($B$45="",TRUE)</formula>
    </cfRule>
  </conditionalFormatting>
  <conditionalFormatting sqref="B46">
    <cfRule type="expression" dxfId="331" priority="279" stopIfTrue="1">
      <formula>IF($B$46="",TRUE)</formula>
    </cfRule>
  </conditionalFormatting>
  <conditionalFormatting sqref="B47">
    <cfRule type="expression" dxfId="330" priority="278" stopIfTrue="1">
      <formula>IF($B$47="",TRUE)</formula>
    </cfRule>
  </conditionalFormatting>
  <conditionalFormatting sqref="B48">
    <cfRule type="expression" dxfId="329" priority="277" stopIfTrue="1">
      <formula>IF($B$48="",TRUE)</formula>
    </cfRule>
  </conditionalFormatting>
  <conditionalFormatting sqref="B49">
    <cfRule type="expression" dxfId="328" priority="276" stopIfTrue="1">
      <formula>IF($B$49="",TRUE)</formula>
    </cfRule>
  </conditionalFormatting>
  <conditionalFormatting sqref="B50">
    <cfRule type="expression" dxfId="327" priority="275" stopIfTrue="1">
      <formula>IF($B$50="",TRUE)</formula>
    </cfRule>
  </conditionalFormatting>
  <conditionalFormatting sqref="B51">
    <cfRule type="expression" dxfId="326" priority="274" stopIfTrue="1">
      <formula>IF($B$51="",TRUE)</formula>
    </cfRule>
  </conditionalFormatting>
  <conditionalFormatting sqref="B54">
    <cfRule type="expression" dxfId="325" priority="266" stopIfTrue="1">
      <formula>IF($B$54="",TRUE)</formula>
    </cfRule>
  </conditionalFormatting>
  <conditionalFormatting sqref="B55">
    <cfRule type="expression" dxfId="324" priority="248" stopIfTrue="1">
      <formula>IF($B$55="",TRUE)</formula>
    </cfRule>
  </conditionalFormatting>
  <conditionalFormatting sqref="B56">
    <cfRule type="expression" dxfId="323" priority="265" stopIfTrue="1">
      <formula>IF($B$56="",TRUE)</formula>
    </cfRule>
  </conditionalFormatting>
  <conditionalFormatting sqref="B57">
    <cfRule type="expression" dxfId="322" priority="264" stopIfTrue="1">
      <formula>IF($B$57="",TRUE)</formula>
    </cfRule>
  </conditionalFormatting>
  <conditionalFormatting sqref="B58">
    <cfRule type="expression" dxfId="321" priority="263" stopIfTrue="1">
      <formula>IF($B$58="",TRUE)</formula>
    </cfRule>
  </conditionalFormatting>
  <conditionalFormatting sqref="B59">
    <cfRule type="expression" dxfId="320" priority="262" stopIfTrue="1">
      <formula>IF($B$59="",TRUE)</formula>
    </cfRule>
  </conditionalFormatting>
  <conditionalFormatting sqref="B60">
    <cfRule type="expression" dxfId="319" priority="261" stopIfTrue="1">
      <formula>IF($B$60="",TRUE)</formula>
    </cfRule>
  </conditionalFormatting>
  <conditionalFormatting sqref="B61">
    <cfRule type="expression" dxfId="318" priority="260" stopIfTrue="1">
      <formula>IF($B$61="",TRUE)</formula>
    </cfRule>
  </conditionalFormatting>
  <conditionalFormatting sqref="B62">
    <cfRule type="expression" dxfId="317" priority="259" stopIfTrue="1">
      <formula>IF($B$62="",TRUE)</formula>
    </cfRule>
  </conditionalFormatting>
  <conditionalFormatting sqref="B63">
    <cfRule type="expression" dxfId="316" priority="258" stopIfTrue="1">
      <formula>IF($B$63="",TRUE)</formula>
    </cfRule>
  </conditionalFormatting>
  <conditionalFormatting sqref="B66">
    <cfRule type="expression" dxfId="315" priority="257" stopIfTrue="1">
      <formula>IF($B$54="",TRUE)</formula>
    </cfRule>
  </conditionalFormatting>
  <conditionalFormatting sqref="B67">
    <cfRule type="expression" dxfId="314" priority="247" stopIfTrue="1">
      <formula>IF($B$55="",TRUE)</formula>
    </cfRule>
  </conditionalFormatting>
  <conditionalFormatting sqref="B68">
    <cfRule type="expression" dxfId="313" priority="256" stopIfTrue="1">
      <formula>IF($B$56="",TRUE)</formula>
    </cfRule>
  </conditionalFormatting>
  <conditionalFormatting sqref="B69">
    <cfRule type="expression" dxfId="312" priority="255" stopIfTrue="1">
      <formula>IF($B$57="",TRUE)</formula>
    </cfRule>
  </conditionalFormatting>
  <conditionalFormatting sqref="B70">
    <cfRule type="expression" dxfId="311" priority="254" stopIfTrue="1">
      <formula>IF($B$58="",TRUE)</formula>
    </cfRule>
  </conditionalFormatting>
  <conditionalFormatting sqref="B71">
    <cfRule type="expression" dxfId="310" priority="253" stopIfTrue="1">
      <formula>IF($B$59="",TRUE)</formula>
    </cfRule>
  </conditionalFormatting>
  <conditionalFormatting sqref="B72">
    <cfRule type="expression" dxfId="309" priority="252" stopIfTrue="1">
      <formula>IF($B$60="",TRUE)</formula>
    </cfRule>
  </conditionalFormatting>
  <conditionalFormatting sqref="B73">
    <cfRule type="expression" dxfId="308" priority="251" stopIfTrue="1">
      <formula>IF($B$61="",TRUE)</formula>
    </cfRule>
  </conditionalFormatting>
  <conditionalFormatting sqref="B74">
    <cfRule type="expression" dxfId="307" priority="250" stopIfTrue="1">
      <formula>IF($B$62="",TRUE)</formula>
    </cfRule>
  </conditionalFormatting>
  <conditionalFormatting sqref="B75">
    <cfRule type="expression" dxfId="306" priority="249" stopIfTrue="1">
      <formula>IF($B$63="",TRUE)</formula>
    </cfRule>
  </conditionalFormatting>
  <conditionalFormatting sqref="B78">
    <cfRule type="expression" dxfId="305" priority="246" stopIfTrue="1">
      <formula>IF($B$54="",TRUE)</formula>
    </cfRule>
  </conditionalFormatting>
  <conditionalFormatting sqref="B79">
    <cfRule type="expression" dxfId="304" priority="237" stopIfTrue="1">
      <formula>IF($B$55="",TRUE)</formula>
    </cfRule>
  </conditionalFormatting>
  <conditionalFormatting sqref="B80">
    <cfRule type="expression" dxfId="303" priority="245" stopIfTrue="1">
      <formula>IF($B$56="",TRUE)</formula>
    </cfRule>
  </conditionalFormatting>
  <conditionalFormatting sqref="B81">
    <cfRule type="expression" dxfId="302" priority="244" stopIfTrue="1">
      <formula>IF($B$57="",TRUE)</formula>
    </cfRule>
  </conditionalFormatting>
  <conditionalFormatting sqref="B82">
    <cfRule type="expression" dxfId="301" priority="243" stopIfTrue="1">
      <formula>IF($B$58="",TRUE)</formula>
    </cfRule>
  </conditionalFormatting>
  <conditionalFormatting sqref="B83">
    <cfRule type="expression" dxfId="300" priority="242" stopIfTrue="1">
      <formula>IF($B$59="",TRUE)</formula>
    </cfRule>
  </conditionalFormatting>
  <conditionalFormatting sqref="B84">
    <cfRule type="expression" dxfId="299" priority="241" stopIfTrue="1">
      <formula>IF($B$60="",TRUE)</formula>
    </cfRule>
  </conditionalFormatting>
  <conditionalFormatting sqref="B85">
    <cfRule type="expression" dxfId="298" priority="240" stopIfTrue="1">
      <formula>IF($B$61="",TRUE)</formula>
    </cfRule>
  </conditionalFormatting>
  <conditionalFormatting sqref="B86">
    <cfRule type="expression" dxfId="297" priority="239" stopIfTrue="1">
      <formula>IF($B$62="",TRUE)</formula>
    </cfRule>
  </conditionalFormatting>
  <conditionalFormatting sqref="B87">
    <cfRule type="expression" dxfId="296" priority="238" stopIfTrue="1">
      <formula>IF($B$63="",TRUE)</formula>
    </cfRule>
  </conditionalFormatting>
  <conditionalFormatting sqref="B90">
    <cfRule type="expression" dxfId="295" priority="236" stopIfTrue="1">
      <formula>IF($B$54="",TRUE)</formula>
    </cfRule>
  </conditionalFormatting>
  <conditionalFormatting sqref="B91">
    <cfRule type="expression" dxfId="294" priority="227" stopIfTrue="1">
      <formula>IF($B$55="",TRUE)</formula>
    </cfRule>
  </conditionalFormatting>
  <conditionalFormatting sqref="B92">
    <cfRule type="expression" dxfId="293" priority="235" stopIfTrue="1">
      <formula>IF($B$56="",TRUE)</formula>
    </cfRule>
  </conditionalFormatting>
  <conditionalFormatting sqref="B93">
    <cfRule type="expression" dxfId="292" priority="234" stopIfTrue="1">
      <formula>IF($B$57="",TRUE)</formula>
    </cfRule>
  </conditionalFormatting>
  <conditionalFormatting sqref="B94">
    <cfRule type="expression" dxfId="291" priority="233" stopIfTrue="1">
      <formula>IF($B$58="",TRUE)</formula>
    </cfRule>
  </conditionalFormatting>
  <conditionalFormatting sqref="B95">
    <cfRule type="expression" dxfId="290" priority="232" stopIfTrue="1">
      <formula>IF($B$59="",TRUE)</formula>
    </cfRule>
  </conditionalFormatting>
  <conditionalFormatting sqref="B96">
    <cfRule type="expression" dxfId="289" priority="231" stopIfTrue="1">
      <formula>IF($B$60="",TRUE)</formula>
    </cfRule>
  </conditionalFormatting>
  <conditionalFormatting sqref="B97">
    <cfRule type="expression" dxfId="288" priority="230" stopIfTrue="1">
      <formula>IF($B$61="",TRUE)</formula>
    </cfRule>
  </conditionalFormatting>
  <conditionalFormatting sqref="B98">
    <cfRule type="expression" dxfId="287" priority="229" stopIfTrue="1">
      <formula>IF($B$62="",TRUE)</formula>
    </cfRule>
  </conditionalFormatting>
  <conditionalFormatting sqref="B99">
    <cfRule type="expression" dxfId="286" priority="228" stopIfTrue="1">
      <formula>IF($B$63="",TRUE)</formula>
    </cfRule>
  </conditionalFormatting>
  <conditionalFormatting sqref="B102">
    <cfRule type="expression" dxfId="285" priority="226" stopIfTrue="1">
      <formula>IF($B$54="",TRUE)</formula>
    </cfRule>
  </conditionalFormatting>
  <conditionalFormatting sqref="B103">
    <cfRule type="expression" dxfId="284" priority="217" stopIfTrue="1">
      <formula>IF($B$55="",TRUE)</formula>
    </cfRule>
  </conditionalFormatting>
  <conditionalFormatting sqref="B104">
    <cfRule type="expression" dxfId="283" priority="225" stopIfTrue="1">
      <formula>IF($B$56="",TRUE)</formula>
    </cfRule>
  </conditionalFormatting>
  <conditionalFormatting sqref="B105">
    <cfRule type="expression" dxfId="282" priority="224" stopIfTrue="1">
      <formula>IF($B$57="",TRUE)</formula>
    </cfRule>
  </conditionalFormatting>
  <conditionalFormatting sqref="B106">
    <cfRule type="expression" dxfId="281" priority="223" stopIfTrue="1">
      <formula>IF($B$58="",TRUE)</formula>
    </cfRule>
  </conditionalFormatting>
  <conditionalFormatting sqref="B107">
    <cfRule type="expression" dxfId="280" priority="222" stopIfTrue="1">
      <formula>IF($B$59="",TRUE)</formula>
    </cfRule>
  </conditionalFormatting>
  <conditionalFormatting sqref="B108">
    <cfRule type="expression" dxfId="279" priority="221" stopIfTrue="1">
      <formula>IF($B$60="",TRUE)</formula>
    </cfRule>
  </conditionalFormatting>
  <conditionalFormatting sqref="B109">
    <cfRule type="expression" dxfId="278" priority="220" stopIfTrue="1">
      <formula>IF($B$61="",TRUE)</formula>
    </cfRule>
  </conditionalFormatting>
  <conditionalFormatting sqref="B110">
    <cfRule type="expression" dxfId="277" priority="219" stopIfTrue="1">
      <formula>IF($B$62="",TRUE)</formula>
    </cfRule>
  </conditionalFormatting>
  <conditionalFormatting sqref="B111">
    <cfRule type="expression" dxfId="276" priority="218" stopIfTrue="1">
      <formula>IF($B$63="",TRUE)</formula>
    </cfRule>
  </conditionalFormatting>
  <conditionalFormatting sqref="B120">
    <cfRule type="expression" dxfId="275" priority="195" stopIfTrue="1">
      <formula>IF($B$54="",TRUE)</formula>
    </cfRule>
  </conditionalFormatting>
  <conditionalFormatting sqref="B121">
    <cfRule type="expression" dxfId="274" priority="186" stopIfTrue="1">
      <formula>IF($B$55="",TRUE)</formula>
    </cfRule>
  </conditionalFormatting>
  <conditionalFormatting sqref="B122">
    <cfRule type="expression" dxfId="273" priority="194" stopIfTrue="1">
      <formula>IF($B$56="",TRUE)</formula>
    </cfRule>
  </conditionalFormatting>
  <conditionalFormatting sqref="B123">
    <cfRule type="expression" dxfId="272" priority="193" stopIfTrue="1">
      <formula>IF($B$57="",TRUE)</formula>
    </cfRule>
  </conditionalFormatting>
  <conditionalFormatting sqref="B124">
    <cfRule type="expression" dxfId="271" priority="192" stopIfTrue="1">
      <formula>IF($B$58="",TRUE)</formula>
    </cfRule>
  </conditionalFormatting>
  <conditionalFormatting sqref="B125">
    <cfRule type="expression" dxfId="270" priority="191" stopIfTrue="1">
      <formula>IF($B$59="",TRUE)</formula>
    </cfRule>
  </conditionalFormatting>
  <conditionalFormatting sqref="B126">
    <cfRule type="expression" dxfId="269" priority="190" stopIfTrue="1">
      <formula>IF($B$60="",TRUE)</formula>
    </cfRule>
  </conditionalFormatting>
  <conditionalFormatting sqref="B127">
    <cfRule type="expression" dxfId="268" priority="189" stopIfTrue="1">
      <formula>IF($B$61="",TRUE)</formula>
    </cfRule>
  </conditionalFormatting>
  <conditionalFormatting sqref="B128">
    <cfRule type="expression" dxfId="267" priority="188" stopIfTrue="1">
      <formula>IF($B$62="",TRUE)</formula>
    </cfRule>
  </conditionalFormatting>
  <conditionalFormatting sqref="B129">
    <cfRule type="expression" dxfId="266" priority="187" stopIfTrue="1">
      <formula>IF($B$63="",TRUE)</formula>
    </cfRule>
  </conditionalFormatting>
  <conditionalFormatting sqref="D12">
    <cfRule type="expression" dxfId="265" priority="310">
      <formula>IF($D$12="",TRUE)</formula>
    </cfRule>
  </conditionalFormatting>
  <conditionalFormatting sqref="D20">
    <cfRule type="expression" dxfId="264" priority="324" stopIfTrue="1">
      <formula>IF($D$20="",TRUE)</formula>
    </cfRule>
  </conditionalFormatting>
  <conditionalFormatting sqref="D26:E26">
    <cfRule type="expression" dxfId="262" priority="327" stopIfTrue="1">
      <formula>IF($D$26="",TRUE)</formula>
    </cfRule>
  </conditionalFormatting>
  <conditionalFormatting sqref="D30:E30">
    <cfRule type="expression" dxfId="261" priority="321" stopIfTrue="1">
      <formula>IF($D$30="",TRUE)</formula>
    </cfRule>
    <cfRule type="expression" dxfId="260" priority="300" stopIfTrue="1">
      <formula>IF($B$30="",TRUE)</formula>
    </cfRule>
  </conditionalFormatting>
  <conditionalFormatting sqref="D31:E31">
    <cfRule type="expression" dxfId="259" priority="322" stopIfTrue="1">
      <formula>IF($D$31="",TRUE)</formula>
    </cfRule>
    <cfRule type="expression" dxfId="258" priority="299" stopIfTrue="1">
      <formula>IF($B$31="",TRUE)</formula>
    </cfRule>
  </conditionalFormatting>
  <conditionalFormatting sqref="D32:E32">
    <cfRule type="expression" dxfId="257" priority="312" stopIfTrue="1">
      <formula>IF($D$32="",TRUE)</formula>
    </cfRule>
    <cfRule type="expression" dxfId="256" priority="298" stopIfTrue="1">
      <formula>IF($B$32="",TRUE)</formula>
    </cfRule>
  </conditionalFormatting>
  <conditionalFormatting sqref="D33:E33">
    <cfRule type="expression" dxfId="255" priority="296" stopIfTrue="1">
      <formula>IF($B$33="",TRUE)</formula>
    </cfRule>
    <cfRule type="expression" dxfId="254" priority="297" stopIfTrue="1">
      <formula>IF($D$33="",TRUE)</formula>
    </cfRule>
  </conditionalFormatting>
  <conditionalFormatting sqref="D34:E34">
    <cfRule type="expression" dxfId="253" priority="294" stopIfTrue="1">
      <formula>IF($B$34="",TRUE)</formula>
    </cfRule>
    <cfRule type="expression" dxfId="252" priority="295" stopIfTrue="1">
      <formula>IF($D$34="",TRUE)</formula>
    </cfRule>
  </conditionalFormatting>
  <conditionalFormatting sqref="D35:E35">
    <cfRule type="expression" dxfId="251" priority="292" stopIfTrue="1">
      <formula>IF($B$35="",TRUE)</formula>
    </cfRule>
    <cfRule type="expression" dxfId="250" priority="293" stopIfTrue="1">
      <formula>IF($D$35="",TRUE)</formula>
    </cfRule>
  </conditionalFormatting>
  <conditionalFormatting sqref="D36:E36">
    <cfRule type="expression" dxfId="249" priority="290" stopIfTrue="1">
      <formula>IF($B$36="",TRUE)</formula>
    </cfRule>
    <cfRule type="expression" dxfId="248" priority="291" stopIfTrue="1">
      <formula>IF($D$36="",TRUE)</formula>
    </cfRule>
  </conditionalFormatting>
  <conditionalFormatting sqref="D37:E37">
    <cfRule type="expression" dxfId="247" priority="289" stopIfTrue="1">
      <formula>IF($D$37="",TRUE)</formula>
    </cfRule>
    <cfRule type="expression" dxfId="246" priority="288" stopIfTrue="1">
      <formula>IF($B$37="",TRUE)</formula>
    </cfRule>
  </conditionalFormatting>
  <conditionalFormatting sqref="D38:E38">
    <cfRule type="expression" dxfId="245" priority="286" stopIfTrue="1">
      <formula>IF($B$38="",TRUE)</formula>
    </cfRule>
    <cfRule type="expression" dxfId="244" priority="287" stopIfTrue="1">
      <formula>IF($D$38="",TRUE)</formula>
    </cfRule>
  </conditionalFormatting>
  <conditionalFormatting sqref="D39:E39">
    <cfRule type="expression" dxfId="243" priority="284" stopIfTrue="1">
      <formula>IF($B$39="",TRUE)</formula>
    </cfRule>
    <cfRule type="expression" dxfId="242" priority="285" stopIfTrue="1">
      <formula>IF($D$39="",TRUE)</formula>
    </cfRule>
  </conditionalFormatting>
  <conditionalFormatting sqref="D42:E42">
    <cfRule type="expression" dxfId="241" priority="273" stopIfTrue="1">
      <formula>IF($B$42="",TRUE)</formula>
    </cfRule>
    <cfRule type="expression" dxfId="240" priority="315" stopIfTrue="1">
      <formula>IF(AND(OR($D$30="Yes",$D$30=""),$D$42=""),1,0)</formula>
    </cfRule>
    <cfRule type="expression" dxfId="239" priority="316" stopIfTrue="1">
      <formula>IF($P$30="",TRUE)</formula>
    </cfRule>
  </conditionalFormatting>
  <conditionalFormatting sqref="D43:E43">
    <cfRule type="expression" dxfId="238" priority="270" stopIfTrue="1">
      <formula>IF($B$43="",TRUE)</formula>
    </cfRule>
    <cfRule type="expression" dxfId="237" priority="271" stopIfTrue="1">
      <formula>IF(AND(OR($D$31="Yes",$D$31=""),$D$43=""),1,0)</formula>
    </cfRule>
    <cfRule type="expression" dxfId="236" priority="272" stopIfTrue="1">
      <formula>IF($P$31="",TRUE)</formula>
    </cfRule>
  </conditionalFormatting>
  <conditionalFormatting sqref="D44:E44">
    <cfRule type="expression" dxfId="235" priority="268" stopIfTrue="1">
      <formula>IF(AND(OR($D$32="Yes",$D$32=""),$D$44=""),1,0)</formula>
    </cfRule>
    <cfRule type="expression" dxfId="234" priority="267" stopIfTrue="1">
      <formula>IF($B$44="",TRUE)</formula>
    </cfRule>
    <cfRule type="expression" dxfId="233" priority="269" stopIfTrue="1">
      <formula>IF($P$32="",TRUE)</formula>
    </cfRule>
  </conditionalFormatting>
  <conditionalFormatting sqref="D45:E45">
    <cfRule type="expression" dxfId="232" priority="216" stopIfTrue="1">
      <formula>IF($P$33="",TRUE)</formula>
    </cfRule>
    <cfRule type="expression" dxfId="231" priority="215" stopIfTrue="1">
      <formula>IF(AND(OR($D$33="Yes",$D$33=""),$D$45=""),1,0)</formula>
    </cfRule>
    <cfRule type="expression" dxfId="230" priority="214" stopIfTrue="1">
      <formula>IF($B$45="",TRUE)</formula>
    </cfRule>
  </conditionalFormatting>
  <conditionalFormatting sqref="D46:E46">
    <cfRule type="expression" dxfId="229" priority="213" stopIfTrue="1">
      <formula>IF($P$34="",TRUE)</formula>
    </cfRule>
    <cfRule type="expression" dxfId="228" priority="212" stopIfTrue="1">
      <formula>IF(AND(OR($D$34="Yes",$D$34=""),$D$46=""),1,0)</formula>
    </cfRule>
    <cfRule type="expression" dxfId="227" priority="211" stopIfTrue="1">
      <formula>IF($B$46="",TRUE)</formula>
    </cfRule>
  </conditionalFormatting>
  <conditionalFormatting sqref="D47:E47">
    <cfRule type="expression" dxfId="226" priority="209" stopIfTrue="1">
      <formula>IF(AND(OR($D$35="Yes",$D$35=""),$D$47=""),1,0)</formula>
    </cfRule>
    <cfRule type="expression" dxfId="225" priority="210" stopIfTrue="1">
      <formula>IF($P$35="",TRUE)</formula>
    </cfRule>
    <cfRule type="expression" dxfId="224" priority="208" stopIfTrue="1">
      <formula>IF($B$47="",TRUE)</formula>
    </cfRule>
  </conditionalFormatting>
  <conditionalFormatting sqref="D48:E48">
    <cfRule type="expression" dxfId="223" priority="206" stopIfTrue="1">
      <formula>IF(AND(OR($D$36="Yes",$D$36=""),$D$48=""),1,0)</formula>
    </cfRule>
    <cfRule type="expression" dxfId="222" priority="207" stopIfTrue="1">
      <formula>IF($P$36="",TRUE)</formula>
    </cfRule>
    <cfRule type="expression" dxfId="221" priority="205" stopIfTrue="1">
      <formula>IF($B$48="",TRUE)</formula>
    </cfRule>
  </conditionalFormatting>
  <conditionalFormatting sqref="D49:E49">
    <cfRule type="expression" dxfId="220" priority="202" stopIfTrue="1">
      <formula>IF($B$49="",TRUE)</formula>
    </cfRule>
    <cfRule type="expression" dxfId="219" priority="203" stopIfTrue="1">
      <formula>IF(AND(OR($D$37="Yes",$D$37=""),$D$49=""),1,0)</formula>
    </cfRule>
    <cfRule type="expression" dxfId="218" priority="204" stopIfTrue="1">
      <formula>IF($P$37="",TRUE)</formula>
    </cfRule>
  </conditionalFormatting>
  <conditionalFormatting sqref="D50:E50">
    <cfRule type="expression" dxfId="217" priority="200" stopIfTrue="1">
      <formula>IF(AND(OR($D$38="Yes",$D$38=""),$D$50=""),1,0)</formula>
    </cfRule>
    <cfRule type="expression" dxfId="216" priority="201" stopIfTrue="1">
      <formula>IF($P$38="",TRUE)</formula>
    </cfRule>
    <cfRule type="expression" dxfId="215" priority="199" stopIfTrue="1">
      <formula>IF($B$50="",TRUE)</formula>
    </cfRule>
  </conditionalFormatting>
  <conditionalFormatting sqref="D51:E51">
    <cfRule type="expression" dxfId="214" priority="198" stopIfTrue="1">
      <formula>IF($P$39="",TRUE)</formula>
    </cfRule>
    <cfRule type="expression" dxfId="213" priority="197" stopIfTrue="1">
      <formula>IF(AND(OR($D$39="Yes",$D$39=""),$D$51=""),1,0)</formula>
    </cfRule>
    <cfRule type="expression" dxfId="212" priority="196" stopIfTrue="1">
      <formula>IF($B$51="",TRUE)</formula>
    </cfRule>
  </conditionalFormatting>
  <conditionalFormatting sqref="D54:E54">
    <cfRule type="expression" dxfId="211" priority="126" stopIfTrue="1">
      <formula>IF($B$54="",TRUE)</formula>
    </cfRule>
    <cfRule type="expression" dxfId="210" priority="127" stopIfTrue="1">
      <formula>IF($P$54="",TRUE)</formula>
    </cfRule>
    <cfRule type="expression" dxfId="209" priority="128" stopIfTrue="1">
      <formula>IF(AND(OR($D$42="Yes",$D$42=""),$D$54=""),1,0)</formula>
    </cfRule>
  </conditionalFormatting>
  <conditionalFormatting sqref="D55:E55">
    <cfRule type="expression" dxfId="208" priority="185" stopIfTrue="1">
      <formula>IF(AND(OR($D$43="Yes",$D$43=""),$D$55=""),1,0)</formula>
    </cfRule>
    <cfRule type="expression" dxfId="207" priority="184" stopIfTrue="1">
      <formula>IF($P$55="",TRUE)</formula>
    </cfRule>
    <cfRule type="expression" dxfId="206" priority="183" stopIfTrue="1">
      <formula>IF($B$55="",TRUE)</formula>
    </cfRule>
  </conditionalFormatting>
  <conditionalFormatting sqref="D56:E56">
    <cfRule type="expression" dxfId="205" priority="181" stopIfTrue="1">
      <formula>IF($P$56="",TRUE)</formula>
    </cfRule>
    <cfRule type="expression" dxfId="204" priority="182" stopIfTrue="1">
      <formula>IF(AND(OR($D$44="Yes",$D$44=""),$D$56=""),1,0)</formula>
    </cfRule>
    <cfRule type="expression" dxfId="203" priority="129" stopIfTrue="1">
      <formula>IF($B$56="",TRUE)</formula>
    </cfRule>
  </conditionalFormatting>
  <conditionalFormatting sqref="D57:E57">
    <cfRule type="expression" dxfId="202" priority="179" stopIfTrue="1">
      <formula>IF($P$57="",TRUE)</formula>
    </cfRule>
    <cfRule type="expression" dxfId="201" priority="178" stopIfTrue="1">
      <formula>IF($B$57="",TRUE)</formula>
    </cfRule>
    <cfRule type="expression" dxfId="200" priority="180" stopIfTrue="1">
      <formula>IF(AND(OR($D$45="Yes",$D$45=""),$D$57=""),1,0)</formula>
    </cfRule>
  </conditionalFormatting>
  <conditionalFormatting sqref="D58:E58">
    <cfRule type="expression" dxfId="199" priority="175" stopIfTrue="1">
      <formula>IF($B$58="",TRUE)</formula>
    </cfRule>
    <cfRule type="expression" dxfId="198" priority="177" stopIfTrue="1">
      <formula>IF(AND(OR($D$46="Yes",$D$46=""),$D$58=""),1,0)</formula>
    </cfRule>
    <cfRule type="expression" dxfId="197" priority="176" stopIfTrue="1">
      <formula>IF($P$58="",TRUE)</formula>
    </cfRule>
  </conditionalFormatting>
  <conditionalFormatting sqref="D59:E59">
    <cfRule type="expression" dxfId="196" priority="172" stopIfTrue="1">
      <formula>IF($B$59="",TRUE)</formula>
    </cfRule>
    <cfRule type="expression" dxfId="195" priority="173" stopIfTrue="1">
      <formula>IF($P$59="",TRUE)</formula>
    </cfRule>
    <cfRule type="expression" dxfId="194" priority="174" stopIfTrue="1">
      <formula>IF(AND(OR($D$47="Yes",$D$47=""),$D$59=""),1,0)</formula>
    </cfRule>
  </conditionalFormatting>
  <conditionalFormatting sqref="D60:E60">
    <cfRule type="expression" dxfId="193" priority="169" stopIfTrue="1">
      <formula>IF($B$60="",TRUE)</formula>
    </cfRule>
    <cfRule type="expression" dxfId="192" priority="171" stopIfTrue="1">
      <formula>IF(AND(OR($D$48="Yes",$D$48=""),$D$60=""),1,0)</formula>
    </cfRule>
    <cfRule type="expression" dxfId="191" priority="170" stopIfTrue="1">
      <formula>IF($P$60="",TRUE)</formula>
    </cfRule>
  </conditionalFormatting>
  <conditionalFormatting sqref="D61:E61">
    <cfRule type="expression" dxfId="190" priority="167" stopIfTrue="1">
      <formula>IF($P$61="",TRUE)</formula>
    </cfRule>
    <cfRule type="expression" dxfId="189" priority="166" stopIfTrue="1">
      <formula>IF($B$61="",TRUE)</formula>
    </cfRule>
    <cfRule type="expression" dxfId="188" priority="168" stopIfTrue="1">
      <formula>IF(AND(OR($D$49="Yes",$D$49=""),$D$61=""),1,0)</formula>
    </cfRule>
  </conditionalFormatting>
  <conditionalFormatting sqref="D62:E62">
    <cfRule type="expression" dxfId="187" priority="163" stopIfTrue="1">
      <formula>IF($B$62="",TRUE)</formula>
    </cfRule>
    <cfRule type="expression" dxfId="186" priority="164" stopIfTrue="1">
      <formula>IF($P$62="",TRUE)</formula>
    </cfRule>
    <cfRule type="expression" dxfId="185" priority="165" stopIfTrue="1">
      <formula>IF(AND(OR($D$50="Yes",$D$50=""),$D$62=""),1,0)</formula>
    </cfRule>
  </conditionalFormatting>
  <conditionalFormatting sqref="D63:E63">
    <cfRule type="expression" dxfId="184" priority="160" stopIfTrue="1">
      <formula>IF($B$63="",TRUE)</formula>
    </cfRule>
    <cfRule type="expression" dxfId="183" priority="161" stopIfTrue="1">
      <formula>IF($P$63="",TRUE)</formula>
    </cfRule>
    <cfRule type="expression" dxfId="182" priority="162" stopIfTrue="1">
      <formula>IF(AND(OR($D$51="Yes",$D$51=""),$D$63=""),1,0)</formula>
    </cfRule>
  </conditionalFormatting>
  <conditionalFormatting sqref="D66:E66">
    <cfRule type="expression" dxfId="181" priority="96" stopIfTrue="1">
      <formula>IF($B$54="",TRUE)</formula>
    </cfRule>
    <cfRule type="expression" dxfId="180" priority="97" stopIfTrue="1">
      <formula>IF($P$54="",TRUE)</formula>
    </cfRule>
    <cfRule type="expression" dxfId="179" priority="98" stopIfTrue="1">
      <formula>IF(AND(OR($D$42="Yes",$D$42=""),$D$66=""),1,0)</formula>
    </cfRule>
  </conditionalFormatting>
  <conditionalFormatting sqref="D67:E67">
    <cfRule type="expression" dxfId="178" priority="125" stopIfTrue="1">
      <formula>IF(AND(OR($D$43="Yes",$D$43=""),$D$67=""),1,0)</formula>
    </cfRule>
    <cfRule type="expression" dxfId="177" priority="124" stopIfTrue="1">
      <formula>IF($P$55="",TRUE)</formula>
    </cfRule>
    <cfRule type="expression" dxfId="176" priority="123" stopIfTrue="1">
      <formula>IF($B$55="",TRUE)</formula>
    </cfRule>
  </conditionalFormatting>
  <conditionalFormatting sqref="D68:E68">
    <cfRule type="expression" dxfId="175" priority="99" stopIfTrue="1">
      <formula>IF($B$56="",TRUE)</formula>
    </cfRule>
    <cfRule type="expression" dxfId="174" priority="122" stopIfTrue="1">
      <formula>IF(AND(OR($D$44="Yes",$D$44=""),$D$68=""),1,0)</formula>
    </cfRule>
    <cfRule type="expression" dxfId="173" priority="121" stopIfTrue="1">
      <formula>IF($P$56="",TRUE)</formula>
    </cfRule>
  </conditionalFormatting>
  <conditionalFormatting sqref="D69:E69">
    <cfRule type="expression" dxfId="172" priority="118" stopIfTrue="1">
      <formula>IF($B$57="",TRUE)</formula>
    </cfRule>
    <cfRule type="expression" dxfId="171" priority="119" stopIfTrue="1">
      <formula>IF($P$57="",TRUE)</formula>
    </cfRule>
    <cfRule type="expression" dxfId="170" priority="120" stopIfTrue="1">
      <formula>IF(AND(OR($D$45="Yes",$D$45=""),$D$69=""),1,0)</formula>
    </cfRule>
  </conditionalFormatting>
  <conditionalFormatting sqref="D70:E70">
    <cfRule type="expression" dxfId="169" priority="117" stopIfTrue="1">
      <formula>IF(AND(OR($D$46="Yes",$D$46=""),$D$70=""),1,0)</formula>
    </cfRule>
    <cfRule type="expression" dxfId="168" priority="115" stopIfTrue="1">
      <formula>IF($B$58="",TRUE)</formula>
    </cfRule>
    <cfRule type="expression" dxfId="167" priority="116" stopIfTrue="1">
      <formula>IF($P$58="",TRUE)</formula>
    </cfRule>
  </conditionalFormatting>
  <conditionalFormatting sqref="D71:E71">
    <cfRule type="expression" dxfId="166" priority="113" stopIfTrue="1">
      <formula>IF($P$59="",TRUE)</formula>
    </cfRule>
    <cfRule type="expression" dxfId="165" priority="114" stopIfTrue="1">
      <formula>IF(AND(OR($D$47="Yes",$D$47=""),$D$71=""),1,0)</formula>
    </cfRule>
    <cfRule type="expression" dxfId="164" priority="112" stopIfTrue="1">
      <formula>IF($B$59="",TRUE)</formula>
    </cfRule>
  </conditionalFormatting>
  <conditionalFormatting sqref="D72:E72">
    <cfRule type="expression" dxfId="163" priority="109" stopIfTrue="1">
      <formula>IF($B$60="",TRUE)</formula>
    </cfRule>
    <cfRule type="expression" dxfId="162" priority="111" stopIfTrue="1">
      <formula>IF(AND(OR($D$48="Yes",$D$48=""),$D$72=""),1,0)</formula>
    </cfRule>
    <cfRule type="expression" dxfId="161" priority="110" stopIfTrue="1">
      <formula>IF($P$60="",TRUE)</formula>
    </cfRule>
  </conditionalFormatting>
  <conditionalFormatting sqref="D73:E73">
    <cfRule type="expression" dxfId="160" priority="108" stopIfTrue="1">
      <formula>IF(AND(OR($D$49="Yes",$D$49=""),$D$73=""),1,0)</formula>
    </cfRule>
    <cfRule type="expression" dxfId="159" priority="106" stopIfTrue="1">
      <formula>IF($B$61="",TRUE)</formula>
    </cfRule>
    <cfRule type="expression" dxfId="158" priority="107" stopIfTrue="1">
      <formula>IF($P$61="",TRUE)</formula>
    </cfRule>
  </conditionalFormatting>
  <conditionalFormatting sqref="D74:E74">
    <cfRule type="expression" dxfId="157" priority="103" stopIfTrue="1">
      <formula>IF($B$62="",TRUE)</formula>
    </cfRule>
    <cfRule type="expression" dxfId="156" priority="104" stopIfTrue="1">
      <formula>IF($P$62="",TRUE)</formula>
    </cfRule>
    <cfRule type="expression" dxfId="155" priority="105" stopIfTrue="1">
      <formula>IF(AND(OR($D$50="Yes",$D$50=""),$D$74=""),1,0)</formula>
    </cfRule>
  </conditionalFormatting>
  <conditionalFormatting sqref="D75:E75">
    <cfRule type="expression" dxfId="154" priority="102" stopIfTrue="1">
      <formula>IF(AND(OR($D$51="Yes",$D$51=""),$D$75=""),1,0)</formula>
    </cfRule>
    <cfRule type="expression" dxfId="153" priority="101" stopIfTrue="1">
      <formula>IF($P$63="",TRUE)</formula>
    </cfRule>
    <cfRule type="expression" dxfId="152" priority="100" stopIfTrue="1">
      <formula>IF($B$63="",TRUE)</formula>
    </cfRule>
  </conditionalFormatting>
  <conditionalFormatting sqref="D78:E78">
    <cfRule type="expression" dxfId="151" priority="66" stopIfTrue="1">
      <formula>IF($B$54="",TRUE)</formula>
    </cfRule>
    <cfRule type="expression" dxfId="150" priority="67" stopIfTrue="1">
      <formula>IF($P$54="",TRUE)</formula>
    </cfRule>
    <cfRule type="expression" dxfId="149" priority="68" stopIfTrue="1">
      <formula>IF(AND(OR($D$42="Yes",$D$42=""),$D$78=""),1,0)</formula>
    </cfRule>
  </conditionalFormatting>
  <conditionalFormatting sqref="D79:E79">
    <cfRule type="expression" dxfId="148" priority="95" stopIfTrue="1">
      <formula>IF(AND(OR($D$43="Yes",$D$43=""),$D$79=""),1,0)</formula>
    </cfRule>
    <cfRule type="expression" dxfId="147" priority="94" stopIfTrue="1">
      <formula>IF($P$55="",TRUE)</formula>
    </cfRule>
    <cfRule type="expression" dxfId="146" priority="93" stopIfTrue="1">
      <formula>IF($B$55="",TRUE)</formula>
    </cfRule>
  </conditionalFormatting>
  <conditionalFormatting sqref="D80:E80">
    <cfRule type="expression" dxfId="145" priority="91" stopIfTrue="1">
      <formula>IF($P$56="",TRUE)</formula>
    </cfRule>
    <cfRule type="expression" dxfId="144" priority="69" stopIfTrue="1">
      <formula>IF($B$56="",TRUE)</formula>
    </cfRule>
    <cfRule type="expression" dxfId="143" priority="92" stopIfTrue="1">
      <formula>IF(AND(OR($D$44="Yes",$D$44=""),$D$80=""),1,0)</formula>
    </cfRule>
  </conditionalFormatting>
  <conditionalFormatting sqref="D81:E81">
    <cfRule type="expression" dxfId="142" priority="90" stopIfTrue="1">
      <formula>IF(AND(OR($D$45="Yes",$D$45=""),$D$81=""),1,0)</formula>
    </cfRule>
    <cfRule type="expression" dxfId="141" priority="89" stopIfTrue="1">
      <formula>IF($P$57="",TRUE)</formula>
    </cfRule>
    <cfRule type="expression" dxfId="140" priority="88" stopIfTrue="1">
      <formula>IF($B$57="",TRUE)</formula>
    </cfRule>
  </conditionalFormatting>
  <conditionalFormatting sqref="D82:E82">
    <cfRule type="expression" dxfId="139" priority="87" stopIfTrue="1">
      <formula>IF(AND(OR($D$46="Yes",$D$46=""),$D$82=""),1,0)</formula>
    </cfRule>
    <cfRule type="expression" dxfId="138" priority="85" stopIfTrue="1">
      <formula>IF($B$58="",TRUE)</formula>
    </cfRule>
    <cfRule type="expression" dxfId="137" priority="86" stopIfTrue="1">
      <formula>IF($P$58="",TRUE)</formula>
    </cfRule>
  </conditionalFormatting>
  <conditionalFormatting sqref="D83:E83">
    <cfRule type="expression" dxfId="136" priority="84" stopIfTrue="1">
      <formula>IF(AND(OR($D$47="Yes",$D$47=""),$D$83=""),1,0)</formula>
    </cfRule>
    <cfRule type="expression" dxfId="135" priority="83" stopIfTrue="1">
      <formula>IF($P$59="",TRUE)</formula>
    </cfRule>
    <cfRule type="expression" dxfId="134" priority="82" stopIfTrue="1">
      <formula>IF($B$59="",TRUE)</formula>
    </cfRule>
  </conditionalFormatting>
  <conditionalFormatting sqref="D84:E84">
    <cfRule type="expression" dxfId="133" priority="81" stopIfTrue="1">
      <formula>IF(AND(OR($D$48="Yes",$D$48=""),$D$84=""),1,0)</formula>
    </cfRule>
    <cfRule type="expression" dxfId="132" priority="80" stopIfTrue="1">
      <formula>IF($P$60="",TRUE)</formula>
    </cfRule>
    <cfRule type="expression" dxfId="131" priority="79" stopIfTrue="1">
      <formula>IF($B$60="",TRUE)</formula>
    </cfRule>
  </conditionalFormatting>
  <conditionalFormatting sqref="D85:E85">
    <cfRule type="expression" dxfId="130" priority="78" stopIfTrue="1">
      <formula>IF(AND(OR($D$49="Yes",$D$49=""),$D$85=""),1,0)</formula>
    </cfRule>
    <cfRule type="expression" dxfId="129" priority="77" stopIfTrue="1">
      <formula>IF($P$61="",TRUE)</formula>
    </cfRule>
    <cfRule type="expression" dxfId="128" priority="76" stopIfTrue="1">
      <formula>IF($B$61="",TRUE)</formula>
    </cfRule>
  </conditionalFormatting>
  <conditionalFormatting sqref="D86:E86">
    <cfRule type="expression" dxfId="127" priority="75" stopIfTrue="1">
      <formula>IF(AND(OR($D$50="Yes",$D$50=""),$D$86=""),1,0)</formula>
    </cfRule>
    <cfRule type="expression" dxfId="126" priority="74" stopIfTrue="1">
      <formula>IF($P$62="",TRUE)</formula>
    </cfRule>
    <cfRule type="expression" dxfId="125" priority="73" stopIfTrue="1">
      <formula>IF($B$62="",TRUE)</formula>
    </cfRule>
  </conditionalFormatting>
  <conditionalFormatting sqref="D87:E87">
    <cfRule type="expression" dxfId="124" priority="72" stopIfTrue="1">
      <formula>IF(AND(OR($D$51="Yes",$D$51=""),$D$87=""),1,0)</formula>
    </cfRule>
    <cfRule type="expression" dxfId="123" priority="71" stopIfTrue="1">
      <formula>IF($P$63="",TRUE)</formula>
    </cfRule>
    <cfRule type="expression" dxfId="122" priority="70" stopIfTrue="1">
      <formula>IF($B$63="",TRUE)</formula>
    </cfRule>
  </conditionalFormatting>
  <conditionalFormatting sqref="D90:E90">
    <cfRule type="expression" dxfId="121" priority="36" stopIfTrue="1">
      <formula>IF($B$54="",TRUE)</formula>
    </cfRule>
    <cfRule type="expression" dxfId="120" priority="38" stopIfTrue="1">
      <formula>IF(AND(OR($D$42="Yes",$D$42=""),$D$90=""),1,0)</formula>
    </cfRule>
    <cfRule type="expression" dxfId="119" priority="37" stopIfTrue="1">
      <formula>IF($P$54="",TRUE)</formula>
    </cfRule>
  </conditionalFormatting>
  <conditionalFormatting sqref="D91:E91">
    <cfRule type="expression" dxfId="118" priority="65" stopIfTrue="1">
      <formula>IF(AND(OR($D$43="Yes",$D$43=""),$D$91=""),1,0)</formula>
    </cfRule>
    <cfRule type="expression" dxfId="117" priority="64" stopIfTrue="1">
      <formula>IF($P$55="",TRUE)</formula>
    </cfRule>
    <cfRule type="expression" dxfId="116" priority="63" stopIfTrue="1">
      <formula>IF($B$55="",TRUE)</formula>
    </cfRule>
  </conditionalFormatting>
  <conditionalFormatting sqref="D92:E92">
    <cfRule type="expression" dxfId="115" priority="39" stopIfTrue="1">
      <formula>IF($B$56="",TRUE)</formula>
    </cfRule>
    <cfRule type="expression" dxfId="114" priority="62" stopIfTrue="1">
      <formula>IF(AND(OR($D$44="Yes",$D$44=""),$D$92=""),1,0)</formula>
    </cfRule>
    <cfRule type="expression" dxfId="113" priority="61" stopIfTrue="1">
      <formula>IF($P$56="",TRUE)</formula>
    </cfRule>
  </conditionalFormatting>
  <conditionalFormatting sqref="D93:E93">
    <cfRule type="expression" dxfId="112" priority="60" stopIfTrue="1">
      <formula>IF(AND(OR($D$45="Yes",$D$45=""),$D$93=""),1,0)</formula>
    </cfRule>
    <cfRule type="expression" dxfId="111" priority="59" stopIfTrue="1">
      <formula>IF($P$57="",TRUE)</formula>
    </cfRule>
    <cfRule type="expression" dxfId="110" priority="58" stopIfTrue="1">
      <formula>IF($B$57="",TRUE)</formula>
    </cfRule>
  </conditionalFormatting>
  <conditionalFormatting sqref="D94:E94">
    <cfRule type="expression" dxfId="109" priority="55" stopIfTrue="1">
      <formula>IF($B$58="",TRUE)</formula>
    </cfRule>
    <cfRule type="expression" dxfId="108" priority="57" stopIfTrue="1">
      <formula>IF(AND(OR($D$46="Yes",$D$46=""),$D$94=""),1,0)</formula>
    </cfRule>
    <cfRule type="expression" dxfId="107" priority="56" stopIfTrue="1">
      <formula>IF($P$58="",TRUE)</formula>
    </cfRule>
  </conditionalFormatting>
  <conditionalFormatting sqref="D95:E95">
    <cfRule type="expression" dxfId="106" priority="54" stopIfTrue="1">
      <formula>IF(AND(OR($D$47="Yes",$D$47=""),$D$95=""),1,0)</formula>
    </cfRule>
    <cfRule type="expression" dxfId="105" priority="53" stopIfTrue="1">
      <formula>IF($P$59="",TRUE)</formula>
    </cfRule>
    <cfRule type="expression" dxfId="104" priority="52" stopIfTrue="1">
      <formula>IF($B$59="",TRUE)</formula>
    </cfRule>
  </conditionalFormatting>
  <conditionalFormatting sqref="D96:E96">
    <cfRule type="expression" dxfId="103" priority="50" stopIfTrue="1">
      <formula>IF($P$60="",TRUE)</formula>
    </cfRule>
    <cfRule type="expression" dxfId="102" priority="49" stopIfTrue="1">
      <formula>IF($B$60="",TRUE)</formula>
    </cfRule>
    <cfRule type="expression" dxfId="101" priority="51" stopIfTrue="1">
      <formula>IF(AND(OR($D$48="Yes",$D$48=""),$D$96=""),1,0)</formula>
    </cfRule>
  </conditionalFormatting>
  <conditionalFormatting sqref="D97:E97">
    <cfRule type="expression" dxfId="100" priority="46" stopIfTrue="1">
      <formula>IF($B$61="",TRUE)</formula>
    </cfRule>
    <cfRule type="expression" dxfId="99" priority="48" stopIfTrue="1">
      <formula>IF(AND(OR($D$49="Yes",$D$49=""),$D$97=""),1,0)</formula>
    </cfRule>
    <cfRule type="expression" dxfId="98" priority="47" stopIfTrue="1">
      <formula>IF($P$61="",TRUE)</formula>
    </cfRule>
  </conditionalFormatting>
  <conditionalFormatting sqref="D98:E98">
    <cfRule type="expression" dxfId="97" priority="45" stopIfTrue="1">
      <formula>IF(AND(OR($D$50="Yes",$D$50=""),$D$98=""),1,0)</formula>
    </cfRule>
    <cfRule type="expression" dxfId="96" priority="44" stopIfTrue="1">
      <formula>IF($P$62="",TRUE)</formula>
    </cfRule>
    <cfRule type="expression" dxfId="95" priority="43" stopIfTrue="1">
      <formula>IF($B$62="",TRUE)</formula>
    </cfRule>
  </conditionalFormatting>
  <conditionalFormatting sqref="D99:E99">
    <cfRule type="expression" dxfId="94" priority="42" stopIfTrue="1">
      <formula>IF(AND(OR($D$51="Yes",$D$51=""),$D$99=""),1,0)</formula>
    </cfRule>
    <cfRule type="expression" dxfId="93" priority="41" stopIfTrue="1">
      <formula>IF($P$63="",TRUE)</formula>
    </cfRule>
    <cfRule type="expression" dxfId="92" priority="40" stopIfTrue="1">
      <formula>IF($B$63="",TRUE)</formula>
    </cfRule>
  </conditionalFormatting>
  <conditionalFormatting sqref="D102:E102">
    <cfRule type="expression" dxfId="91" priority="8" stopIfTrue="1">
      <formula>IF(AND(OR($D$42="Yes",$D$42=""),$D$102=""),1,0)</formula>
    </cfRule>
    <cfRule type="expression" dxfId="90" priority="6" stopIfTrue="1">
      <formula>IF($B$54="",TRUE)</formula>
    </cfRule>
    <cfRule type="expression" dxfId="89" priority="7" stopIfTrue="1">
      <formula>IF($P$54="",TRUE)</formula>
    </cfRule>
  </conditionalFormatting>
  <conditionalFormatting sqref="D103:E103">
    <cfRule type="expression" dxfId="88" priority="35" stopIfTrue="1">
      <formula>IF(AND(OR($D$43="Yes",$D$43=""),$D$103=""),1,0)</formula>
    </cfRule>
    <cfRule type="expression" dxfId="87" priority="33" stopIfTrue="1">
      <formula>IF($B$55="",TRUE)</formula>
    </cfRule>
    <cfRule type="expression" dxfId="86" priority="34" stopIfTrue="1">
      <formula>IF($P$55="",TRUE)</formula>
    </cfRule>
  </conditionalFormatting>
  <conditionalFormatting sqref="D104:E104">
    <cfRule type="expression" dxfId="85" priority="9" stopIfTrue="1">
      <formula>IF($B$56="",TRUE)</formula>
    </cfRule>
    <cfRule type="expression" dxfId="84" priority="31" stopIfTrue="1">
      <formula>IF($P$56="",TRUE)</formula>
    </cfRule>
    <cfRule type="expression" dxfId="83" priority="32" stopIfTrue="1">
      <formula>IF(AND(OR($D$44="Yes",$D$44=""),$D$104=""),1,0)</formula>
    </cfRule>
  </conditionalFormatting>
  <conditionalFormatting sqref="D105:E105">
    <cfRule type="expression" dxfId="82" priority="29" stopIfTrue="1">
      <formula>IF($P$57="",TRUE)</formula>
    </cfRule>
    <cfRule type="expression" dxfId="81" priority="28" stopIfTrue="1">
      <formula>IF($B$57="",TRUE)</formula>
    </cfRule>
    <cfRule type="expression" dxfId="80" priority="30" stopIfTrue="1">
      <formula>IF(AND(OR($D$45="Yes",$D$45=""),$D$105=""),1,0)</formula>
    </cfRule>
  </conditionalFormatting>
  <conditionalFormatting sqref="D106:E106">
    <cfRule type="expression" dxfId="79" priority="25" stopIfTrue="1">
      <formula>IF($B$58="",TRUE)</formula>
    </cfRule>
    <cfRule type="expression" dxfId="78" priority="27" stopIfTrue="1">
      <formula>IF(AND(OR($D$46="Yes",$D$46=""),$D$106=""),1,0)</formula>
    </cfRule>
    <cfRule type="expression" dxfId="77" priority="26" stopIfTrue="1">
      <formula>IF($P$58="",TRUE)</formula>
    </cfRule>
  </conditionalFormatting>
  <conditionalFormatting sqref="D107:E107">
    <cfRule type="expression" dxfId="76" priority="24" stopIfTrue="1">
      <formula>IF(AND(OR($D$47="Yes",$D$47=""),$D$107=""),1,0)</formula>
    </cfRule>
    <cfRule type="expression" dxfId="75" priority="22" stopIfTrue="1">
      <formula>IF($B$59="",TRUE)</formula>
    </cfRule>
    <cfRule type="expression" dxfId="74" priority="23" stopIfTrue="1">
      <formula>IF($P$59="",TRUE)</formula>
    </cfRule>
  </conditionalFormatting>
  <conditionalFormatting sqref="D108:E108">
    <cfRule type="expression" dxfId="73" priority="19" stopIfTrue="1">
      <formula>IF($B$60="",TRUE)</formula>
    </cfRule>
    <cfRule type="expression" dxfId="72" priority="20" stopIfTrue="1">
      <formula>IF($P$60="",TRUE)</formula>
    </cfRule>
    <cfRule type="expression" dxfId="71" priority="21" stopIfTrue="1">
      <formula>IF(AND(OR($D$48="Yes",$D$48=""),$D$108=""),1,0)</formula>
    </cfRule>
  </conditionalFormatting>
  <conditionalFormatting sqref="D109:E109">
    <cfRule type="expression" dxfId="70" priority="16" stopIfTrue="1">
      <formula>IF($B$61="",TRUE)</formula>
    </cfRule>
    <cfRule type="expression" dxfId="69" priority="17" stopIfTrue="1">
      <formula>IF($P$61="",TRUE)</formula>
    </cfRule>
    <cfRule type="expression" dxfId="68" priority="18" stopIfTrue="1">
      <formula>IF(AND(OR($D$49="Yes",$D$49=""),$D$109=""),1,0)</formula>
    </cfRule>
  </conditionalFormatting>
  <conditionalFormatting sqref="D110:E110">
    <cfRule type="expression" dxfId="67" priority="14" stopIfTrue="1">
      <formula>IF($P$62="",TRUE)</formula>
    </cfRule>
    <cfRule type="expression" dxfId="66" priority="13" stopIfTrue="1">
      <formula>IF($B$62="",TRUE)</formula>
    </cfRule>
    <cfRule type="expression" dxfId="65" priority="15" stopIfTrue="1">
      <formula>IF(AND(OR($D$50="Yes",$D$50=""),$D$110=""),1,0)</formula>
    </cfRule>
  </conditionalFormatting>
  <conditionalFormatting sqref="D111:E111">
    <cfRule type="expression" dxfId="64" priority="12" stopIfTrue="1">
      <formula>IF(AND(OR($D$51="Yes",$D$51=""),$D$111=""),1,0)</formula>
    </cfRule>
    <cfRule type="expression" dxfId="63" priority="11" stopIfTrue="1">
      <formula>IF($P$63="",TRUE)</formula>
    </cfRule>
    <cfRule type="expression" dxfId="62" priority="10" stopIfTrue="1">
      <formula>IF($B$63="",TRUE)</formula>
    </cfRule>
  </conditionalFormatting>
  <conditionalFormatting sqref="D115:E115 D117:E117 D131:E131 D133:E133 D135:E135 D137:E137">
    <cfRule type="expression" dxfId="61" priority="314" stopIfTrue="1">
      <formula>IF(D115="",TRUE)</formula>
    </cfRule>
    <cfRule type="expression" dxfId="60" priority="313" stopIfTrue="1">
      <formula>AND(OR($D$30="No",$D$30="Unknown",$D$30="Not applicable for this declaration"),OR($D$31="No",$D$31="Unknown",$D$31="Not applicable for this declaration"))</formula>
    </cfRule>
  </conditionalFormatting>
  <conditionalFormatting sqref="D120:E120">
    <cfRule type="expression" dxfId="59" priority="157" stopIfTrue="1">
      <formula>IF($B$54="",TRUE)</formula>
    </cfRule>
    <cfRule type="expression" dxfId="58" priority="158" stopIfTrue="1">
      <formula>IF($P$54="",TRUE)</formula>
    </cfRule>
    <cfRule type="expression" dxfId="57" priority="159" stopIfTrue="1">
      <formula>IF(AND(OR($D$42="Yes",$D$42=""),$D$120=""),1,0)</formula>
    </cfRule>
  </conditionalFormatting>
  <conditionalFormatting sqref="D121:E121">
    <cfRule type="expression" dxfId="56" priority="154" stopIfTrue="1">
      <formula>IF($B$55="",TRUE)</formula>
    </cfRule>
    <cfRule type="expression" dxfId="55" priority="155" stopIfTrue="1">
      <formula>IF($P$55="",TRUE)</formula>
    </cfRule>
    <cfRule type="expression" dxfId="54" priority="156" stopIfTrue="1">
      <formula>IF(AND(OR($D$43="Yes",$D$43=""),$D$121=""),1,0)</formula>
    </cfRule>
  </conditionalFormatting>
  <conditionalFormatting sqref="D122:E122">
    <cfRule type="expression" dxfId="53" priority="153" stopIfTrue="1">
      <formula>IF(AND(OR($D$44="Yes",$D$44=""),$D$122=""),1,0)</formula>
    </cfRule>
    <cfRule type="expression" dxfId="52" priority="151" stopIfTrue="1">
      <formula>IF($B$56="",TRUE)</formula>
    </cfRule>
    <cfRule type="expression" dxfId="51" priority="152" stopIfTrue="1">
      <formula>IF($P$56="",TRUE)</formula>
    </cfRule>
  </conditionalFormatting>
  <conditionalFormatting sqref="D123:E123">
    <cfRule type="expression" dxfId="50" priority="150" stopIfTrue="1">
      <formula>IF(AND(OR($D$45="Yes",$D$45=""),$D$123=""),1,0)</formula>
    </cfRule>
    <cfRule type="expression" dxfId="49" priority="149" stopIfTrue="1">
      <formula>IF($P$57="",TRUE)</formula>
    </cfRule>
    <cfRule type="expression" dxfId="48" priority="148" stopIfTrue="1">
      <formula>IF($B$57="",TRUE)</formula>
    </cfRule>
  </conditionalFormatting>
  <conditionalFormatting sqref="D124:E124">
    <cfRule type="expression" dxfId="47" priority="145" stopIfTrue="1">
      <formula>IF($B$58="",TRUE)</formula>
    </cfRule>
    <cfRule type="expression" dxfId="46" priority="147" stopIfTrue="1">
      <formula>IF(AND(OR($D$46="Yes",$D$46=""),$D$124=""),1,0)</formula>
    </cfRule>
    <cfRule type="expression" dxfId="45" priority="146" stopIfTrue="1">
      <formula>IF($P$58="",TRUE)</formula>
    </cfRule>
  </conditionalFormatting>
  <conditionalFormatting sqref="D125:E125">
    <cfRule type="expression" dxfId="44" priority="142" stopIfTrue="1">
      <formula>IF($B$59="",TRUE)</formula>
    </cfRule>
    <cfRule type="expression" dxfId="43" priority="143" stopIfTrue="1">
      <formula>IF($P$59="",TRUE)</formula>
    </cfRule>
    <cfRule type="expression" dxfId="42" priority="144" stopIfTrue="1">
      <formula>IF(AND(OR($D$47="Yes",$D$47=""),$D$125=""),1,0)</formula>
    </cfRule>
  </conditionalFormatting>
  <conditionalFormatting sqref="D126:E126">
    <cfRule type="expression" dxfId="41" priority="141" stopIfTrue="1">
      <formula>IF(AND(OR($D$48="Yes",$D$48=""),$D$126=""),1,0)</formula>
    </cfRule>
    <cfRule type="expression" dxfId="40" priority="139" stopIfTrue="1">
      <formula>IF($B$60="",TRUE)</formula>
    </cfRule>
    <cfRule type="expression" dxfId="39" priority="140" stopIfTrue="1">
      <formula>IF($P$60="",TRUE)</formula>
    </cfRule>
  </conditionalFormatting>
  <conditionalFormatting sqref="D127:E127">
    <cfRule type="expression" dxfId="38" priority="137" stopIfTrue="1">
      <formula>IF($P$61="",TRUE)</formula>
    </cfRule>
    <cfRule type="expression" dxfId="37" priority="136" stopIfTrue="1">
      <formula>IF($B$61="",TRUE)</formula>
    </cfRule>
    <cfRule type="expression" dxfId="36" priority="138" stopIfTrue="1">
      <formula>IF(AND(OR($D$49="Yes",$D$49=""),$D$127=""),1,0)</formula>
    </cfRule>
  </conditionalFormatting>
  <conditionalFormatting sqref="D128:E128">
    <cfRule type="expression" dxfId="35" priority="135" stopIfTrue="1">
      <formula>IF(AND(OR($D$50="Yes",$D$50=""),$D$128=""),1,0)</formula>
    </cfRule>
    <cfRule type="expression" dxfId="34" priority="133" stopIfTrue="1">
      <formula>IF($B$62="",TRUE)</formula>
    </cfRule>
    <cfRule type="expression" dxfId="33" priority="134" stopIfTrue="1">
      <formula>IF($P$62="",TRUE)</formula>
    </cfRule>
  </conditionalFormatting>
  <conditionalFormatting sqref="D129:E129">
    <cfRule type="expression" dxfId="32" priority="132" stopIfTrue="1">
      <formula>IF(AND(OR($D$51="Yes",$D$51=""),$D$129=""),1,0)</formula>
    </cfRule>
    <cfRule type="expression" dxfId="31" priority="131" stopIfTrue="1">
      <formula>IF($P$63="",TRUE)</formula>
    </cfRule>
    <cfRule type="expression" dxfId="30" priority="130" stopIfTrue="1">
      <formula>IF($B$63="",TRUE)</formula>
    </cfRule>
  </conditionalFormatting>
  <conditionalFormatting sqref="D9:G9">
    <cfRule type="expression" dxfId="29" priority="466" stopIfTrue="1">
      <formula>IF($D$9="",TRUE)</formula>
    </cfRule>
  </conditionalFormatting>
  <conditionalFormatting sqref="D19:J19">
    <cfRule type="expression" dxfId="28" priority="323" stopIfTrue="1">
      <formula>IF($D$19="",TRUE)</formula>
    </cfRule>
  </conditionalFormatting>
  <conditionalFormatting sqref="D21:J21">
    <cfRule type="expression" dxfId="27" priority="325" stopIfTrue="1">
      <formula>IF($D$21="",TRUE)</formula>
    </cfRule>
  </conditionalFormatting>
  <conditionalFormatting sqref="G117:J117">
    <cfRule type="expression" dxfId="25" priority="318">
      <formula>IF(AND($D$117="Yes",$G$117=""),TRUE)</formula>
    </cfRule>
  </conditionalFormatting>
  <conditionalFormatting sqref="G133:J133">
    <cfRule type="expression" dxfId="24" priority="320" stopIfTrue="1">
      <formula>IF(AND($D$133="Yes, using other format (describe)",$G$133=""),TRUE)</formula>
    </cfRule>
  </conditionalFormatting>
  <conditionalFormatting sqref="G135:J135">
    <cfRule type="expression" dxfId="23" priority="317">
      <formula>IF(AND($D$135="Yes, using other format (describe)",$G$135=""),TRUE)</formula>
    </cfRule>
  </conditionalFormatting>
  <conditionalFormatting sqref="D8:J8">
    <cfRule type="expression" dxfId="22" priority="5" stopIfTrue="1">
      <formula>IF($D$8="",TRUE)</formula>
    </cfRule>
  </conditionalFormatting>
  <conditionalFormatting sqref="D10:J10">
    <cfRule type="expression" dxfId="21" priority="3" stopIfTrue="1">
      <formula>IF($D$9=$Q$9,TRUE)</formula>
    </cfRule>
    <cfRule type="expression" dxfId="20" priority="4" stopIfTrue="1">
      <formula>IF(AND($D$10="",$D$9=$R$9),TRUE)</formula>
    </cfRule>
  </conditionalFormatting>
  <conditionalFormatting sqref="D22:J22">
    <cfRule type="expression" dxfId="1" priority="2" stopIfTrue="1">
      <formula>IF($D$19="",TRUE)</formula>
    </cfRule>
  </conditionalFormatting>
  <conditionalFormatting sqref="D24">
    <cfRule type="expression" dxfId="0"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C8" sqref="C8"/>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POUR COMMENCER :</v>
      </c>
      <c r="C2" s="142"/>
      <c r="D2" s="142"/>
      <c r="E2" s="142"/>
      <c r="F2" s="161"/>
      <c r="G2" s="161"/>
      <c r="H2" s="161"/>
      <c r="I2" s="284"/>
      <c r="J2" s="462" t="str">
        <f ca="1">OFFSET(L!$C$1,MATCH("Smelter List"&amp;ADDRESS(ROW(),COLUMN(),4),L!$A:$A,0)-1,SL,,)</f>
        <v>Lien vers la liste des fonderies conformes au programme RMAP (« RMAP Conformant Smelter List »)</v>
      </c>
      <c r="K2" s="463"/>
      <c r="L2" s="463"/>
      <c r="M2" s="463"/>
      <c r="N2" s="463"/>
      <c r="O2" s="463"/>
      <c r="P2" s="162"/>
      <c r="Q2" s="163"/>
      <c r="R2" s="164"/>
      <c r="S2" s="164"/>
      <c r="T2" s="164"/>
      <c r="AB2" s="312"/>
      <c r="AH2" s="130" t="s">
        <v>25</v>
      </c>
    </row>
    <row r="3" spans="1:34" s="16" customFormat="1" ht="249.6" customHeight="1">
      <c r="A3" s="202"/>
      <c r="B3" s="464"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64"/>
      <c r="D3" s="464"/>
      <c r="E3" s="464"/>
      <c r="F3" s="165"/>
      <c r="G3" s="465" t="str">
        <f ca="1">OFFSET(L!$C$1,MATCH("General"&amp;"Cpy",L!$A:$A,0)-1,SL,,)</f>
        <v>© 2025 Responsible Minerals Initiative. Tous droits réservés.</v>
      </c>
      <c r="H3" s="466"/>
      <c r="I3" s="467"/>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Colonne de saisie du numéro d’identification de la fonderie</v>
      </c>
      <c r="B4" s="128" t="str">
        <f ca="1">OFFSET(L!$C$1,MATCH("Smelter List"&amp;ADDRESS(ROW(),COLUMN(),4),L!$A:$A,0)-1,SL,,)</f>
        <v>Métal (*)</v>
      </c>
      <c r="C4" s="128" t="str">
        <f ca="1">OFFSET(L!$C$1,MATCH("Smelter List"&amp;ADDRESS(ROW(),COLUMN(),4),L!$A:$A,0)-1,SL,,)</f>
        <v>Recherche de fonderie (*)</v>
      </c>
      <c r="D4" s="128" t="str">
        <f ca="1">OFFSET(L!$C$1,MATCH("Smelter List"&amp;ADDRESS(ROW(),COLUMN(),4),L!$A:$A,0)-1,SL,,)</f>
        <v>Nom de la fonderie (*)</v>
      </c>
      <c r="E4" s="128" t="str">
        <f ca="1">OFFSET(L!$C$1,MATCH("Smelter List"&amp;ADDRESS(ROW(),COLUMN(),4),L!$A:$A,0)-1,SL,,)</f>
        <v>Localisation de la fonderie : Pays (*)</v>
      </c>
      <c r="F4" s="128" t="str">
        <f ca="1">OFFSET(L!$C$1,MATCH("Smelter List"&amp;ADDRESS(ROW(),COLUMN(),4),L!$A:$A,0)-1,SL,,)</f>
        <v>Identifiant de la fonderie</v>
      </c>
      <c r="G4" s="128" t="str">
        <f ca="1">OFFSET(L!$C$1,MATCH("Smelter List"&amp;ADDRESS(ROW(),COLUMN(),4),L!$A:$A,0)-1,SL,,)</f>
        <v>Source de l’identifiant de la fonderie</v>
      </c>
      <c r="H4" s="129" t="str">
        <f ca="1">OFFSET(L!$C$1,MATCH("Smelter List"&amp;ADDRESS(ROW(),COLUMN(),4),L!$A:$A,0)-1,SL,,)</f>
        <v>Localisation de la fonderie : Rue</v>
      </c>
      <c r="I4" s="129" t="str">
        <f ca="1">OFFSET(L!$C$1,MATCH("Smelter List"&amp;ADDRESS(ROW(),COLUMN(),4),L!$A:$A,0)-1,SL,,)</f>
        <v>Localisation de la fonderie : Ville</v>
      </c>
      <c r="J4" s="129" t="str">
        <f ca="1">OFFSET(L!$C$1,MATCH("Smelter List"&amp;ADDRESS(ROW(),COLUMN(),4),L!$A:$A,0)-1,SL,,)</f>
        <v>Localisation de la fonderie : État / Province</v>
      </c>
      <c r="K4" s="129" t="str">
        <f ca="1">OFFSET(L!$C$1,MATCH("Smelter List"&amp;ADDRESS(ROW(),COLUMN(),4),L!$A:$A,0)-1,SL,,)</f>
        <v>Nom du contact de la fonderie</v>
      </c>
      <c r="L4" s="129" t="str">
        <f ca="1">OFFSET(L!$C$1,MATCH("Smelter List"&amp;ADDRESS(ROW(),COLUMN(),4),L!$A:$A,0)-1,SL,,)</f>
        <v>E-mail du contact de la fonderie</v>
      </c>
      <c r="M4" s="129" t="str">
        <f ca="1">OFFSET(L!$C$1,MATCH("Smelter List"&amp;ADDRESS(ROW(),COLUMN(),4),L!$A:$A,0)-1,SL,,)</f>
        <v>Prochaines étapes proposées</v>
      </c>
      <c r="N4" s="129" t="str">
        <f ca="1">OFFSET(L!$C$1,MATCH("Smelter List"&amp;ADDRESS(ROW(),COLUMN(),4),L!$A:$A,0)-1,SL,,)</f>
        <v>Nom des Mine(s), ou si provenant de produits recyclés ou déchets, saisir « recyclé » ou « déchets »</v>
      </c>
      <c r="O4" s="129" t="str">
        <f ca="1">OFFSET(L!$C$1,MATCH("Smelter List"&amp;ADDRESS(ROW(),COLUMN(),4),L!$A:$A,0)-1,SL,,)</f>
        <v>Localisation (Pays) des Mine(s) ou si provenant de produits recyclés ou déchets, saisir « recyclé » ou « déchets »</v>
      </c>
      <c r="P4" s="129" t="str">
        <f ca="1">OFFSET(L!$C$1,MATCH("Smelter List"&amp;ADDRESS(ROW(),COLUMN(),4),L!$A:$A,0)-1,SL,,)</f>
        <v>100 % des produits utilisés par la fonderie proviennent-ils de produits recyclés ou de déchets ?</v>
      </c>
      <c r="Q4" s="130" t="str">
        <f ca="1">OFFSET(L!$C$1,MATCH("Smelter List"&amp;ADDRESS(ROW(),COLUMN(),4),L!$A:$A,0)-1,SL,,)</f>
        <v>Commentaires</v>
      </c>
      <c r="R4" s="128" t="s">
        <v>42</v>
      </c>
      <c r="S4" s="128" t="s">
        <v>43</v>
      </c>
      <c r="T4" s="128" t="s">
        <v>44</v>
      </c>
      <c r="U4" s="167"/>
      <c r="W4" s="140" t="s">
        <v>45</v>
      </c>
      <c r="X4" s="140" t="s">
        <v>46</v>
      </c>
      <c r="AB4" s="313"/>
      <c r="AH4" s="130" t="s">
        <v>26</v>
      </c>
    </row>
    <row r="5" spans="1:34" s="170" customFormat="1" ht="20.25">
      <c r="A5" s="198"/>
      <c r="B5" s="304" t="s">
        <v>40</v>
      </c>
      <c r="C5" s="152" t="s">
        <v>299</v>
      </c>
      <c r="D5" s="149"/>
      <c r="E5" s="149" t="s">
        <v>65</v>
      </c>
      <c r="F5" s="149" t="s">
        <v>301</v>
      </c>
      <c r="G5" s="149" t="s">
        <v>12</v>
      </c>
      <c r="H5" s="206"/>
      <c r="I5" s="207" t="s">
        <v>302</v>
      </c>
      <c r="J5" s="207" t="s">
        <v>205</v>
      </c>
      <c r="K5" s="150"/>
      <c r="L5" s="150"/>
      <c r="M5" s="150"/>
      <c r="N5" s="150"/>
      <c r="O5" s="150"/>
      <c r="P5" s="209"/>
      <c r="Q5" s="151"/>
      <c r="R5" s="149" t="str">
        <f ca="1">IF(ISERROR($V5),"",OFFSET('Smelter Look-up'!$C$4,$V5-4,0)&amp;"")</f>
        <v>Zhejiang Huayou Cobalt Company Limited</v>
      </c>
      <c r="S5" s="155" t="str">
        <f t="shared" ref="S5:S12" ca="1" si="0">IF(B5="","",IF(ISERROR(MATCH($E5,CL,0)),"Unknown",INDIRECT("'C'!$A$"&amp;MATCH($E5,CL,0)+1)))</f>
        <v>CN</v>
      </c>
      <c r="T5" s="155" t="str">
        <f ca="1">IF(B5="","",IF(ISERROR(MATCH($J5,SorP!$B$1:$B$6226,0)),"",INDIRECT("'SorP'!$A$"&amp;MATCH($S5&amp;$J5,SorP!C:C,0))))</f>
        <v>CN-ZJ</v>
      </c>
      <c r="U5" s="168"/>
      <c r="V5" s="169">
        <f>IF(C5="",NA(),MATCH($B5&amp;$C5,'Smelter Look-up'!$J:$J,0))</f>
        <v>169</v>
      </c>
      <c r="X5" s="170">
        <f t="shared" ref="X5:X12" si="1">IF(AND(C5="Smelter not listed",OR(LEN(D5)=0,LEN(E5)=0)),1,0)</f>
        <v>0</v>
      </c>
      <c r="AB5" s="314" t="str">
        <f t="shared" ref="AB5:AB12" si="2">IF(C5="","",B5)</f>
        <v>Cobalt</v>
      </c>
    </row>
    <row r="6" spans="1:34" s="170" customFormat="1" ht="20.25">
      <c r="A6" s="198" t="s">
        <v>108</v>
      </c>
      <c r="B6" s="304" t="s">
        <v>40</v>
      </c>
      <c r="C6" s="152" t="s">
        <v>107</v>
      </c>
      <c r="D6" s="149"/>
      <c r="E6" s="149" t="s">
        <v>65</v>
      </c>
      <c r="F6" s="149" t="s">
        <v>108</v>
      </c>
      <c r="G6" s="149" t="s">
        <v>12</v>
      </c>
      <c r="H6" s="206">
        <v>0</v>
      </c>
      <c r="I6" s="207" t="s">
        <v>105</v>
      </c>
      <c r="J6" s="207" t="s">
        <v>106</v>
      </c>
      <c r="K6" s="150"/>
      <c r="L6" s="150"/>
      <c r="M6" s="150"/>
      <c r="N6" s="150"/>
      <c r="O6" s="150"/>
      <c r="P6" s="209"/>
      <c r="Q6" s="151"/>
      <c r="R6" s="149" t="str">
        <f ca="1">IF(ISERROR($V6),"",OFFSET('Smelter Look-up'!$C$4,$V6-4,0)&amp;"")</f>
        <v>Ganzhou Highpower Technology Co., Ltd.</v>
      </c>
      <c r="S6" s="155" t="str">
        <f t="shared" ca="1" si="0"/>
        <v>CN</v>
      </c>
      <c r="T6" s="155" t="str">
        <f ca="1">IF(B6="","",IF(ISERROR(MATCH($J6,SorP!$B$1:$B$6226,0)),"",INDIRECT("'SorP'!$A$"&amp;MATCH($S6&amp;$J6,SorP!C:C,0))))</f>
        <v>CN-JX</v>
      </c>
      <c r="U6" s="168"/>
      <c r="V6" s="169">
        <f>IF(C6="",NA(),MATCH($B6&amp;$C6,'Smelter Look-up'!$J:$J,0))</f>
        <v>34</v>
      </c>
      <c r="X6" s="170">
        <f t="shared" si="1"/>
        <v>0</v>
      </c>
      <c r="AB6" s="314" t="str">
        <f t="shared" si="2"/>
        <v>Cobalt</v>
      </c>
    </row>
    <row r="7" spans="1:34" s="170" customFormat="1" ht="25.5">
      <c r="A7" s="198" t="s">
        <v>102</v>
      </c>
      <c r="B7" s="304" t="s">
        <v>40</v>
      </c>
      <c r="C7" s="152" t="s">
        <v>100</v>
      </c>
      <c r="D7" s="149"/>
      <c r="E7" s="149" t="s">
        <v>101</v>
      </c>
      <c r="F7" s="149" t="s">
        <v>102</v>
      </c>
      <c r="G7" s="149" t="s">
        <v>12</v>
      </c>
      <c r="H7" s="206">
        <v>0</v>
      </c>
      <c r="I7" s="207" t="s">
        <v>103</v>
      </c>
      <c r="J7" s="207" t="s">
        <v>104</v>
      </c>
      <c r="K7" s="150"/>
      <c r="L7" s="150"/>
      <c r="M7" s="150"/>
      <c r="N7" s="150"/>
      <c r="O7" s="150"/>
      <c r="P7" s="209"/>
      <c r="Q7" s="151"/>
      <c r="R7" s="149" t="str">
        <f ca="1">IF(ISERROR($V7),"",OFFSET('Smelter Look-up'!$C$4,$V7-4,0)&amp;"")</f>
        <v>Umicore Finland Oy</v>
      </c>
      <c r="S7" s="155" t="str">
        <f t="shared" ca="1" si="0"/>
        <v>FI</v>
      </c>
      <c r="T7" s="155" t="str">
        <f ca="1">IF(B7="","",IF(ISERROR(MATCH($J7,SorP!$B$1:$B$6226,0)),"",INDIRECT("'SorP'!$A$"&amp;MATCH($S7&amp;$J7,SorP!C:C,0))))</f>
        <v>FI-07</v>
      </c>
      <c r="U7" s="168"/>
      <c r="V7" s="169">
        <f>IF(C7="",NA(),MATCH($B7&amp;$C7,'Smelter Look-up'!$J:$J,0))</f>
        <v>152</v>
      </c>
      <c r="X7" s="170">
        <f t="shared" si="1"/>
        <v>0</v>
      </c>
      <c r="AB7" s="314" t="str">
        <f t="shared" si="2"/>
        <v>Cobalt</v>
      </c>
    </row>
    <row r="8" spans="1:34" s="170" customFormat="1" ht="20.25">
      <c r="A8" s="198" t="s">
        <v>72</v>
      </c>
      <c r="B8" s="304" t="s">
        <v>40</v>
      </c>
      <c r="C8" s="152" t="s">
        <v>70</v>
      </c>
      <c r="D8" s="149"/>
      <c r="E8" s="149" t="s">
        <v>71</v>
      </c>
      <c r="F8" s="149" t="s">
        <v>72</v>
      </c>
      <c r="G8" s="149" t="s">
        <v>12</v>
      </c>
      <c r="H8" s="206">
        <v>0</v>
      </c>
      <c r="I8" s="207" t="s">
        <v>73</v>
      </c>
      <c r="J8" s="207" t="s">
        <v>7357</v>
      </c>
      <c r="K8" s="150"/>
      <c r="L8" s="150"/>
      <c r="M8" s="150"/>
      <c r="N8" s="150"/>
      <c r="O8" s="150"/>
      <c r="P8" s="209"/>
      <c r="Q8" s="151"/>
      <c r="R8" s="149" t="str">
        <f ca="1">IF(ISERROR($V8),"",OFFSET('Smelter Look-up'!$C$4,$V8-4,0)&amp;"")</f>
        <v>Compagnie de Tifnout Tiranimine</v>
      </c>
      <c r="S8" s="155" t="str">
        <f t="shared" ca="1" si="0"/>
        <v>MA</v>
      </c>
      <c r="T8" s="155" t="str">
        <f ca="1">IF(B8="","",IF(ISERROR(MATCH($J8,SorP!$B$1:$B$6226,0)),"",INDIRECT("'SorP'!$A$"&amp;MATCH($S8&amp;$J8,SorP!C:C,0))))</f>
        <v>MA-07</v>
      </c>
      <c r="U8" s="168"/>
      <c r="V8" s="169">
        <f>IF(C8="",NA(),MATCH($B8&amp;$C8,'Smelter Look-up'!$J:$J,0))</f>
        <v>12</v>
      </c>
      <c r="X8" s="170">
        <f t="shared" si="1"/>
        <v>0</v>
      </c>
      <c r="AB8" s="314" t="str">
        <f t="shared" si="2"/>
        <v>Cobalt</v>
      </c>
    </row>
    <row r="9" spans="1:34" s="170" customFormat="1" ht="25.5">
      <c r="A9" s="198" t="s">
        <v>77</v>
      </c>
      <c r="B9" s="304" t="s">
        <v>40</v>
      </c>
      <c r="C9" s="152" t="s">
        <v>75</v>
      </c>
      <c r="D9" s="149"/>
      <c r="E9" s="149" t="s">
        <v>76</v>
      </c>
      <c r="F9" s="149" t="s">
        <v>77</v>
      </c>
      <c r="G9" s="149" t="s">
        <v>12</v>
      </c>
      <c r="H9" s="206">
        <v>0</v>
      </c>
      <c r="I9" s="207" t="s">
        <v>78</v>
      </c>
      <c r="J9" s="207" t="s">
        <v>79</v>
      </c>
      <c r="K9" s="150"/>
      <c r="L9" s="150"/>
      <c r="M9" s="150"/>
      <c r="N9" s="150"/>
      <c r="O9" s="150"/>
      <c r="P9" s="209"/>
      <c r="Q9" s="151"/>
      <c r="R9" s="149" t="str">
        <f ca="1">IF(ISERROR($V9),"",OFFSET('Smelter Look-up'!$C$4,$V9-4,0)&amp;"")</f>
        <v>Uranus Chemicals</v>
      </c>
      <c r="S9" s="155" t="str">
        <f t="shared" ca="1" si="0"/>
        <v>TW</v>
      </c>
      <c r="T9" s="155" t="str">
        <f ca="1">IF(B9="","",IF(ISERROR(MATCH($J9,SorP!$B$1:$B$6226,0)),"",INDIRECT("'SorP'!$A$"&amp;MATCH($S9&amp;$J9,SorP!C:C,0))))</f>
        <v>TW-MIA</v>
      </c>
      <c r="U9" s="168"/>
      <c r="V9" s="169">
        <f>IF(C9="",NA(),MATCH($B9&amp;$C9,'Smelter Look-up'!$J:$J,0))</f>
        <v>18</v>
      </c>
      <c r="X9" s="170">
        <f t="shared" si="1"/>
        <v>0</v>
      </c>
      <c r="AB9" s="314" t="str">
        <f t="shared" si="2"/>
        <v>Cobalt</v>
      </c>
    </row>
    <row r="10" spans="1:34" s="170" customFormat="1" ht="20.25">
      <c r="A10" s="198" t="s">
        <v>82</v>
      </c>
      <c r="B10" s="304" t="s">
        <v>40</v>
      </c>
      <c r="C10" s="152" t="s">
        <v>80</v>
      </c>
      <c r="D10" s="149"/>
      <c r="E10" s="149" t="s">
        <v>81</v>
      </c>
      <c r="F10" s="149" t="s">
        <v>82</v>
      </c>
      <c r="G10" s="149" t="s">
        <v>12</v>
      </c>
      <c r="H10" s="206">
        <v>0</v>
      </c>
      <c r="I10" s="207" t="s">
        <v>83</v>
      </c>
      <c r="J10" s="207" t="s">
        <v>84</v>
      </c>
      <c r="K10" s="150"/>
      <c r="L10" s="150"/>
      <c r="M10" s="150"/>
      <c r="N10" s="150"/>
      <c r="O10" s="150"/>
      <c r="P10" s="209"/>
      <c r="Q10" s="151"/>
      <c r="R10" s="149" t="str">
        <f ca="1">IF(ISERROR($V10),"",OFFSET('Smelter Look-up'!$C$4,$V10-4,0)&amp;"")</f>
        <v>Cosmo Chemical, Ltd.</v>
      </c>
      <c r="S10" s="155" t="str">
        <f t="shared" ca="1" si="0"/>
        <v>KR</v>
      </c>
      <c r="T10" s="155" t="str">
        <f ca="1">IF(B10="","",IF(ISERROR(MATCH($J10,SorP!$B$1:$B$6226,0)),"",INDIRECT("'SorP'!$A$"&amp;MATCH($S10&amp;$J10,SorP!C:C,0))))</f>
        <v>KR-48</v>
      </c>
      <c r="U10" s="168"/>
      <c r="V10" s="169">
        <f>IF(C10="",NA(),MATCH($B10&amp;$C10,'Smelter Look-up'!$J:$J,0))</f>
        <v>19</v>
      </c>
      <c r="X10" s="170">
        <f t="shared" si="1"/>
        <v>0</v>
      </c>
      <c r="AB10" s="314" t="str">
        <f t="shared" si="2"/>
        <v>Cobalt</v>
      </c>
    </row>
    <row r="11" spans="1:34" s="170" customFormat="1" ht="20.25">
      <c r="A11" s="199" t="s">
        <v>220</v>
      </c>
      <c r="B11" s="304" t="s">
        <v>40</v>
      </c>
      <c r="C11" s="152" t="s">
        <v>218</v>
      </c>
      <c r="D11" s="149"/>
      <c r="E11" s="149" t="s">
        <v>219</v>
      </c>
      <c r="F11" s="149" t="s">
        <v>220</v>
      </c>
      <c r="G11" s="149" t="s">
        <v>12</v>
      </c>
      <c r="H11" s="206">
        <v>0</v>
      </c>
      <c r="I11" s="207" t="s">
        <v>221</v>
      </c>
      <c r="J11" s="207" t="s">
        <v>222</v>
      </c>
      <c r="K11" s="150"/>
      <c r="L11" s="150"/>
      <c r="M11" s="150"/>
      <c r="N11" s="150"/>
      <c r="O11" s="150"/>
      <c r="P11" s="209"/>
      <c r="Q11" s="151"/>
      <c r="R11" s="149" t="str">
        <f ca="1">IF(ISERROR($V11),"",OFFSET('Smelter Look-up'!$C$4,$V11-4,0)&amp;"")</f>
        <v>Murrin Murrin Nickel Cobalt Plant</v>
      </c>
      <c r="S11" s="155" t="str">
        <f t="shared" ca="1" si="0"/>
        <v>AU</v>
      </c>
      <c r="T11" s="155" t="str">
        <f ca="1">IF(B11="","",IF(ISERROR(MATCH($J11,SorP!$B$1:$B$6226,0)),"",INDIRECT("'SorP'!$A$"&amp;MATCH($S11&amp;$J11,SorP!C:C,0))))</f>
        <v>AU-WA</v>
      </c>
      <c r="U11" s="168"/>
      <c r="V11" s="169">
        <f>IF(C11="",NA(),MATCH($B11&amp;$C11,'Smelter Look-up'!$J:$J,0))</f>
        <v>109</v>
      </c>
      <c r="X11" s="170">
        <f t="shared" si="1"/>
        <v>0</v>
      </c>
      <c r="AB11" s="314" t="str">
        <f t="shared" si="2"/>
        <v>Cobalt</v>
      </c>
    </row>
    <row r="12" spans="1:34" s="170" customFormat="1" ht="25.5">
      <c r="A12" s="198"/>
      <c r="B12" s="304" t="s">
        <v>40</v>
      </c>
      <c r="C12" s="152" t="s">
        <v>184</v>
      </c>
      <c r="D12" s="149"/>
      <c r="E12" s="149" t="s">
        <v>65</v>
      </c>
      <c r="F12" s="149" t="s">
        <v>185</v>
      </c>
      <c r="G12" s="149" t="s">
        <v>12</v>
      </c>
      <c r="H12" s="206">
        <v>0</v>
      </c>
      <c r="I12" s="207" t="s">
        <v>186</v>
      </c>
      <c r="J12" s="207" t="s">
        <v>187</v>
      </c>
      <c r="K12" s="150"/>
      <c r="L12" s="150"/>
      <c r="M12" s="150"/>
      <c r="N12" s="150"/>
      <c r="O12" s="150"/>
      <c r="P12" s="209"/>
      <c r="Q12" s="151"/>
      <c r="R12" s="149" t="str">
        <f ca="1">IF(ISERROR($V12),"",OFFSET('Smelter Look-up'!$C$4,$V12-4,0)&amp;"")</f>
        <v>Lanzhou Jinchuan Advanced Materials Technology Co., Ltd.</v>
      </c>
      <c r="S12" s="155" t="str">
        <f t="shared" ca="1" si="0"/>
        <v>CN</v>
      </c>
      <c r="T12" s="155" t="str">
        <f ca="1">IF(B12="","",IF(ISERROR(MATCH($J12,SorP!$B$1:$B$6226,0)),"",INDIRECT("'SorP'!$A$"&amp;MATCH($S12&amp;$J12,SorP!C:C,0))))</f>
        <v>CN-GS</v>
      </c>
      <c r="U12" s="168"/>
      <c r="V12" s="169">
        <f>IF(C12="",NA(),MATCH($B12&amp;$C12,'Smelter Look-up'!$J:$J,0))</f>
        <v>88</v>
      </c>
      <c r="X12" s="170">
        <f t="shared" si="1"/>
        <v>0</v>
      </c>
      <c r="AB12" s="314" t="str">
        <f t="shared" si="2"/>
        <v>Cobalt</v>
      </c>
    </row>
    <row r="13" spans="1:34" s="170" customFormat="1" ht="20.25">
      <c r="A13" s="198"/>
      <c r="B13" s="304" t="s">
        <v>40</v>
      </c>
      <c r="C13" s="152" t="s">
        <v>249</v>
      </c>
      <c r="D13" s="149" t="s">
        <v>20059</v>
      </c>
      <c r="E13" s="149" t="s">
        <v>95</v>
      </c>
      <c r="F13" s="149" t="s">
        <v>250</v>
      </c>
      <c r="G13" s="149" t="s">
        <v>12</v>
      </c>
      <c r="H13" s="206"/>
      <c r="I13" s="207" t="s">
        <v>251</v>
      </c>
      <c r="J13" s="207" t="s">
        <v>98</v>
      </c>
      <c r="K13" s="150"/>
      <c r="L13" s="150"/>
      <c r="M13" s="150"/>
      <c r="N13" s="150"/>
      <c r="O13" s="150"/>
      <c r="P13" s="209"/>
      <c r="Q13" s="151"/>
      <c r="R13" s="149" t="str">
        <f ca="1">IF(ISERROR($V13),"",OFFSET('Smelter Look-up'!$C$4,$V13-4,0)&amp;"")</f>
        <v>Port Colborne Refinery</v>
      </c>
      <c r="S13" s="155" t="str">
        <f t="shared" ref="S13:S63" ca="1" si="3">IF(B13="","",IF(ISERROR(MATCH($E13,CL,0)),"Unknown",INDIRECT("'C'!$A$"&amp;MATCH($E13,CL,0)+1)))</f>
        <v>CA</v>
      </c>
      <c r="T13" s="155" t="str">
        <f ca="1">IF(B13="","",IF(ISERROR(MATCH($J13,SorP!$B$1:$B$6226,0)),"",INDIRECT("'SorP'!$A$"&amp;MATCH($S13&amp;$J13,SorP!C:C,0))))</f>
        <v>CA-ON</v>
      </c>
      <c r="U13" s="168"/>
      <c r="V13" s="169">
        <f>IF(C13="",NA(),MATCH($B13&amp;$C13,'Smelter Look-up'!$J:$J,0))</f>
        <v>125</v>
      </c>
      <c r="X13" s="170">
        <f t="shared" ref="X13:X62" si="4">IF(AND(C13="Smelter not listed",OR(LEN(D13)=0,LEN(E13)=0)),1,0)</f>
        <v>0</v>
      </c>
      <c r="AB13" s="314" t="str">
        <f t="shared" ref="AB13:AB69" si="5">IF(C13="","",B13)</f>
        <v>Cobalt</v>
      </c>
    </row>
    <row r="14" spans="1:34" s="170" customFormat="1" ht="25.5">
      <c r="A14" s="199"/>
      <c r="B14" s="304" t="s">
        <v>40</v>
      </c>
      <c r="C14" s="152" t="s">
        <v>99</v>
      </c>
      <c r="D14" s="149"/>
      <c r="E14" s="149" t="s">
        <v>101</v>
      </c>
      <c r="F14" s="149" t="s">
        <v>102</v>
      </c>
      <c r="G14" s="149" t="s">
        <v>12</v>
      </c>
      <c r="H14" s="206"/>
      <c r="I14" s="207" t="s">
        <v>103</v>
      </c>
      <c r="J14" s="207" t="s">
        <v>104</v>
      </c>
      <c r="K14" s="150"/>
      <c r="L14" s="150"/>
      <c r="M14" s="150"/>
      <c r="N14" s="150"/>
      <c r="O14" s="150"/>
      <c r="P14" s="209"/>
      <c r="Q14" s="151"/>
      <c r="R14" s="149" t="str">
        <f ca="1">IF(ISERROR($V14),"",OFFSET('Smelter Look-up'!$C$4,$V14-4,0)&amp;"")</f>
        <v>Umicore Finland Oy</v>
      </c>
      <c r="S14" s="155" t="str">
        <f t="shared" ca="1" si="3"/>
        <v>FI</v>
      </c>
      <c r="T14" s="155" t="str">
        <f ca="1">IF(B14="","",IF(ISERROR(MATCH($J14,SorP!$B$1:$B$6226,0)),"",INDIRECT("'SorP'!$A$"&amp;MATCH($S14&amp;$J14,SorP!C:C,0))))</f>
        <v>FI-07</v>
      </c>
      <c r="U14" s="168"/>
      <c r="V14" s="169">
        <f>IF(C14="",NA(),MATCH($B14&amp;$C14,'Smelter Look-up'!$J:$J,0))</f>
        <v>29</v>
      </c>
      <c r="X14" s="170">
        <f t="shared" si="4"/>
        <v>0</v>
      </c>
      <c r="AB14" s="314" t="str">
        <f t="shared" si="5"/>
        <v>Cobalt</v>
      </c>
    </row>
    <row r="15" spans="1:34" s="170" customFormat="1" ht="20.25">
      <c r="A15" s="199"/>
      <c r="B15" s="304" t="s">
        <v>40</v>
      </c>
      <c r="C15" s="152" t="s">
        <v>245</v>
      </c>
      <c r="D15" s="149"/>
      <c r="E15" s="149" t="s">
        <v>101</v>
      </c>
      <c r="F15" s="149" t="s">
        <v>246</v>
      </c>
      <c r="G15" s="149" t="s">
        <v>12</v>
      </c>
      <c r="H15" s="206"/>
      <c r="I15" s="207" t="s">
        <v>247</v>
      </c>
      <c r="J15" s="207" t="s">
        <v>248</v>
      </c>
      <c r="K15" s="150"/>
      <c r="L15" s="150"/>
      <c r="M15" s="150"/>
      <c r="N15" s="150"/>
      <c r="O15" s="150"/>
      <c r="P15" s="209"/>
      <c r="Q15" s="151"/>
      <c r="R15" s="149" t="str">
        <f ca="1">IF(ISERROR($V15),"",OFFSET('Smelter Look-up'!$C$4,$V15-4,0)&amp;"")</f>
        <v>NORILSK NICKEL HARJAVALTA OY</v>
      </c>
      <c r="S15" s="155" t="str">
        <f t="shared" ca="1" si="3"/>
        <v>FI</v>
      </c>
      <c r="T15" s="155" t="str">
        <f ca="1">IF(B15="","",IF(ISERROR(MATCH($J15,SorP!$B$1:$B$6226,0)),"",INDIRECT("'SorP'!$A$"&amp;MATCH($S15&amp;$J15,SorP!C:C,0))))</f>
        <v>FI-17</v>
      </c>
      <c r="U15" s="168"/>
      <c r="V15" s="169">
        <f>IF(C15="",NA(),MATCH($B15&amp;$C15,'Smelter Look-up'!$J:$J,0))</f>
        <v>124</v>
      </c>
      <c r="X15" s="170">
        <f t="shared" si="4"/>
        <v>0</v>
      </c>
      <c r="AB15" s="314" t="str">
        <f t="shared" si="5"/>
        <v>Cobalt</v>
      </c>
    </row>
    <row r="16" spans="1:34" s="170" customFormat="1" ht="20.25">
      <c r="A16" s="198"/>
      <c r="B16" s="304" t="s">
        <v>40</v>
      </c>
      <c r="C16" s="152" t="s">
        <v>257</v>
      </c>
      <c r="D16" s="149"/>
      <c r="E16" s="149" t="s">
        <v>65</v>
      </c>
      <c r="F16" s="149" t="s">
        <v>258</v>
      </c>
      <c r="G16" s="149" t="s">
        <v>12</v>
      </c>
      <c r="H16" s="206"/>
      <c r="I16" s="207" t="s">
        <v>259</v>
      </c>
      <c r="J16" s="207" t="s">
        <v>205</v>
      </c>
      <c r="K16" s="150"/>
      <c r="L16" s="150"/>
      <c r="M16" s="150"/>
      <c r="N16" s="150"/>
      <c r="O16" s="150"/>
      <c r="P16" s="209"/>
      <c r="Q16" s="151"/>
      <c r="R16" s="149" t="str">
        <f ca="1">IF(ISERROR($V16),"",OFFSET('Smelter Look-up'!$C$4,$V16-4,0)&amp;"")</f>
        <v>Quzhou Huayou Cobalt New Material Co., Ltd.</v>
      </c>
      <c r="S16" s="155" t="str">
        <f t="shared" ca="1" si="3"/>
        <v>CN</v>
      </c>
      <c r="T16" s="155" t="str">
        <f ca="1">IF(B16="","",IF(ISERROR(MATCH($J16,SorP!$B$1:$B$6226,0)),"",INDIRECT("'SorP'!$A$"&amp;MATCH($S16&amp;$J16,SorP!C:C,0))))</f>
        <v>CN-ZJ</v>
      </c>
      <c r="U16" s="168"/>
      <c r="V16" s="169">
        <f>IF(C16="",NA(),MATCH($B16&amp;$C16,'Smelter Look-up'!$J:$J,0))</f>
        <v>133</v>
      </c>
      <c r="X16" s="170">
        <f t="shared" si="4"/>
        <v>0</v>
      </c>
      <c r="AB16" s="314" t="str">
        <f t="shared" si="5"/>
        <v>Cobalt</v>
      </c>
    </row>
    <row r="17" spans="1:28" s="170" customFormat="1" ht="20.25">
      <c r="A17" s="198"/>
      <c r="B17" s="304" t="s">
        <v>40</v>
      </c>
      <c r="C17" s="152" t="s">
        <v>238</v>
      </c>
      <c r="D17" s="149"/>
      <c r="E17" s="149" t="s">
        <v>133</v>
      </c>
      <c r="F17" s="149" t="s">
        <v>239</v>
      </c>
      <c r="G17" s="149" t="s">
        <v>12</v>
      </c>
      <c r="H17" s="206"/>
      <c r="I17" s="207" t="s">
        <v>240</v>
      </c>
      <c r="J17" s="207" t="s">
        <v>241</v>
      </c>
      <c r="K17" s="150"/>
      <c r="L17" s="150"/>
      <c r="M17" s="150"/>
      <c r="N17" s="150"/>
      <c r="O17" s="150"/>
      <c r="P17" s="209"/>
      <c r="Q17" s="151"/>
      <c r="R17" s="149" t="str">
        <f ca="1">IF(ISERROR($V17),"",OFFSET('Smelter Look-up'!$C$4,$V17-4,0)&amp;"")</f>
        <v>Niihama Nickel Refinery, Sumitomo Metal Mining</v>
      </c>
      <c r="S17" s="155" t="str">
        <f t="shared" ca="1" si="3"/>
        <v>JP</v>
      </c>
      <c r="T17" s="155" t="str">
        <f ca="1">IF(B17="","",IF(ISERROR(MATCH($J17,SorP!$B$1:$B$6226,0)),"",INDIRECT("'SorP'!$A$"&amp;MATCH($S17&amp;$J17,SorP!C:C,0))))</f>
        <v>JP-38</v>
      </c>
      <c r="U17" s="168"/>
      <c r="V17" s="169">
        <f>IF(C17="",NA(),MATCH($B17&amp;$C17,'Smelter Look-up'!$J:$J,0))</f>
        <v>142</v>
      </c>
      <c r="X17" s="170">
        <f t="shared" si="4"/>
        <v>0</v>
      </c>
      <c r="AB17" s="314" t="str">
        <f t="shared" si="5"/>
        <v>Cobalt</v>
      </c>
    </row>
    <row r="18" spans="1:28" s="170" customFormat="1" ht="20.25">
      <c r="A18" s="198"/>
      <c r="B18" s="304" t="s">
        <v>40</v>
      </c>
      <c r="C18" s="152" t="s">
        <v>300</v>
      </c>
      <c r="D18" s="149"/>
      <c r="E18" s="149" t="s">
        <v>65</v>
      </c>
      <c r="F18" s="149" t="s">
        <v>301</v>
      </c>
      <c r="G18" s="149" t="s">
        <v>12</v>
      </c>
      <c r="H18" s="206"/>
      <c r="I18" s="207" t="s">
        <v>302</v>
      </c>
      <c r="J18" s="207" t="s">
        <v>205</v>
      </c>
      <c r="K18" s="150"/>
      <c r="L18" s="150"/>
      <c r="M18" s="150"/>
      <c r="N18" s="150"/>
      <c r="O18" s="150"/>
      <c r="P18" s="209"/>
      <c r="Q18" s="151"/>
      <c r="R18" s="149" t="str">
        <f ca="1">IF(ISERROR($V18),"",OFFSET('Smelter Look-up'!$C$4,$V18-4,0)&amp;"")</f>
        <v>Zhejiang Huayou Cobalt Company Limited</v>
      </c>
      <c r="S18" s="155" t="str">
        <f t="shared" ca="1" si="3"/>
        <v>CN</v>
      </c>
      <c r="T18" s="155" t="str">
        <f ca="1">IF(B18="","",IF(ISERROR(MATCH($J18,SorP!$B$1:$B$6226,0)),"",INDIRECT("'SorP'!$A$"&amp;MATCH($S18&amp;$J18,SorP!C:C,0))))</f>
        <v>CN-ZJ</v>
      </c>
      <c r="U18" s="168"/>
      <c r="V18" s="169">
        <f>IF(C18="",NA(),MATCH($B18&amp;$C18,'Smelter Look-up'!$J:$J,0))</f>
        <v>170</v>
      </c>
      <c r="X18" s="170">
        <f t="shared" si="4"/>
        <v>0</v>
      </c>
      <c r="AB18" s="314" t="str">
        <f t="shared" si="5"/>
        <v>Cobalt</v>
      </c>
    </row>
    <row r="19" spans="1:28" s="170" customFormat="1" ht="20.25">
      <c r="A19" s="198"/>
      <c r="B19" s="304" t="s">
        <v>40</v>
      </c>
      <c r="C19" s="152" t="s">
        <v>245</v>
      </c>
      <c r="D19" s="149"/>
      <c r="E19" s="149" t="s">
        <v>101</v>
      </c>
      <c r="F19" s="149" t="s">
        <v>246</v>
      </c>
      <c r="G19" s="149" t="s">
        <v>12</v>
      </c>
      <c r="H19" s="206"/>
      <c r="I19" s="207" t="s">
        <v>247</v>
      </c>
      <c r="J19" s="207" t="s">
        <v>248</v>
      </c>
      <c r="K19" s="150"/>
      <c r="L19" s="150"/>
      <c r="M19" s="150"/>
      <c r="N19" s="150"/>
      <c r="O19" s="150"/>
      <c r="P19" s="209"/>
      <c r="Q19" s="151"/>
      <c r="R19" s="149" t="str">
        <f ca="1">IF(ISERROR($V19),"",OFFSET('Smelter Look-up'!$C$4,$V19-4,0)&amp;"")</f>
        <v>NORILSK NICKEL HARJAVALTA OY</v>
      </c>
      <c r="S19" s="155" t="str">
        <f t="shared" ca="1" si="3"/>
        <v>FI</v>
      </c>
      <c r="T19" s="155" t="str">
        <f ca="1">IF(B19="","",IF(ISERROR(MATCH($J19,SorP!$B$1:$B$6226,0)),"",INDIRECT("'SorP'!$A$"&amp;MATCH($S19&amp;$J19,SorP!C:C,0))))</f>
        <v>FI-17</v>
      </c>
      <c r="U19" s="168"/>
      <c r="V19" s="169">
        <f>IF(C19="",NA(),MATCH($B19&amp;$C19,'Smelter Look-up'!$J:$J,0))</f>
        <v>124</v>
      </c>
      <c r="X19" s="170">
        <f t="shared" si="4"/>
        <v>0</v>
      </c>
      <c r="AB19" s="314" t="str">
        <f t="shared" si="5"/>
        <v>Cobalt</v>
      </c>
    </row>
    <row r="20" spans="1:28" s="170" customFormat="1" ht="20.25">
      <c r="A20" s="199"/>
      <c r="B20" s="304" t="s">
        <v>40</v>
      </c>
      <c r="C20" s="152" t="s">
        <v>257</v>
      </c>
      <c r="D20" s="149"/>
      <c r="E20" s="149" t="s">
        <v>65</v>
      </c>
      <c r="F20" s="149" t="s">
        <v>258</v>
      </c>
      <c r="G20" s="149" t="s">
        <v>12</v>
      </c>
      <c r="H20" s="206"/>
      <c r="I20" s="207" t="s">
        <v>259</v>
      </c>
      <c r="J20" s="207" t="s">
        <v>205</v>
      </c>
      <c r="K20" s="150"/>
      <c r="L20" s="150"/>
      <c r="M20" s="150"/>
      <c r="N20" s="150"/>
      <c r="O20" s="150"/>
      <c r="P20" s="209"/>
      <c r="Q20" s="151"/>
      <c r="R20" s="149" t="str">
        <f ca="1">IF(ISERROR($V20),"",OFFSET('Smelter Look-up'!$C$4,$V20-4,0)&amp;"")</f>
        <v>Quzhou Huayou Cobalt New Material Co., Ltd.</v>
      </c>
      <c r="S20" s="155" t="str">
        <f t="shared" ca="1" si="3"/>
        <v>CN</v>
      </c>
      <c r="T20" s="155" t="str">
        <f ca="1">IF(B20="","",IF(ISERROR(MATCH($J20,SorP!$B$1:$B$6226,0)),"",INDIRECT("'SorP'!$A$"&amp;MATCH($S20&amp;$J20,SorP!C:C,0))))</f>
        <v>CN-ZJ</v>
      </c>
      <c r="U20" s="168"/>
      <c r="V20" s="169">
        <f>IF(C20="",NA(),MATCH($B20&amp;$C20,'Smelter Look-up'!$J:$J,0))</f>
        <v>133</v>
      </c>
      <c r="X20" s="170">
        <f t="shared" si="4"/>
        <v>0</v>
      </c>
      <c r="AB20" s="314" t="str">
        <f t="shared" si="5"/>
        <v>Cobalt</v>
      </c>
    </row>
    <row r="21" spans="1:28" s="170" customFormat="1" ht="20.25">
      <c r="A21" s="198"/>
      <c r="B21" s="304" t="s">
        <v>40</v>
      </c>
      <c r="C21" s="152" t="s">
        <v>238</v>
      </c>
      <c r="D21" s="149"/>
      <c r="E21" s="149" t="s">
        <v>133</v>
      </c>
      <c r="F21" s="149" t="s">
        <v>239</v>
      </c>
      <c r="G21" s="149" t="s">
        <v>12</v>
      </c>
      <c r="H21" s="206"/>
      <c r="I21" s="207" t="s">
        <v>240</v>
      </c>
      <c r="J21" s="207" t="s">
        <v>241</v>
      </c>
      <c r="K21" s="150"/>
      <c r="L21" s="150"/>
      <c r="M21" s="150"/>
      <c r="N21" s="150"/>
      <c r="O21" s="150"/>
      <c r="P21" s="209"/>
      <c r="Q21" s="151"/>
      <c r="R21" s="149" t="str">
        <f ca="1">IF(ISERROR($V21),"",OFFSET('Smelter Look-up'!$C$4,$V21-4,0)&amp;"")</f>
        <v>Niihama Nickel Refinery, Sumitomo Metal Mining</v>
      </c>
      <c r="S21" s="155" t="str">
        <f t="shared" ca="1" si="3"/>
        <v>JP</v>
      </c>
      <c r="T21" s="155" t="str">
        <f ca="1">IF(B21="","",IF(ISERROR(MATCH($J21,SorP!$B$1:$B$6226,0)),"",INDIRECT("'SorP'!$A$"&amp;MATCH($S21&amp;$J21,SorP!C:C,0))))</f>
        <v>JP-38</v>
      </c>
      <c r="U21" s="168"/>
      <c r="V21" s="169">
        <f>IF(C21="",NA(),MATCH($B21&amp;$C21,'Smelter Look-up'!$J:$J,0))</f>
        <v>142</v>
      </c>
      <c r="X21" s="170">
        <f t="shared" si="4"/>
        <v>0</v>
      </c>
      <c r="AB21" s="314" t="str">
        <f t="shared" si="5"/>
        <v>Cobalt</v>
      </c>
    </row>
    <row r="22" spans="1:28" s="170" customFormat="1" ht="20.25">
      <c r="A22" s="198"/>
      <c r="B22" s="304" t="s">
        <v>40</v>
      </c>
      <c r="C22" s="152" t="s">
        <v>300</v>
      </c>
      <c r="D22" s="149"/>
      <c r="E22" s="149" t="s">
        <v>65</v>
      </c>
      <c r="F22" s="149" t="s">
        <v>301</v>
      </c>
      <c r="G22" s="149" t="s">
        <v>12</v>
      </c>
      <c r="H22" s="206"/>
      <c r="I22" s="207" t="s">
        <v>302</v>
      </c>
      <c r="J22" s="207" t="s">
        <v>205</v>
      </c>
      <c r="K22" s="150"/>
      <c r="L22" s="150"/>
      <c r="M22" s="150"/>
      <c r="N22" s="150"/>
      <c r="O22" s="150"/>
      <c r="P22" s="209"/>
      <c r="Q22" s="151"/>
      <c r="R22" s="149" t="str">
        <f ca="1">IF(ISERROR($V22),"",OFFSET('Smelter Look-up'!$C$4,$V22-4,0)&amp;"")</f>
        <v>Zhejiang Huayou Cobalt Company Limited</v>
      </c>
      <c r="S22" s="155" t="str">
        <f t="shared" ca="1" si="3"/>
        <v>CN</v>
      </c>
      <c r="T22" s="155" t="str">
        <f ca="1">IF(B22="","",IF(ISERROR(MATCH($J22,SorP!$B$1:$B$6226,0)),"",INDIRECT("'SorP'!$A$"&amp;MATCH($S22&amp;$J22,SorP!C:C,0))))</f>
        <v>CN-ZJ</v>
      </c>
      <c r="U22" s="168"/>
      <c r="V22" s="169">
        <f>IF(C22="",NA(),MATCH($B22&amp;$C22,'Smelter Look-up'!$J:$J,0))</f>
        <v>170</v>
      </c>
      <c r="X22" s="170">
        <f t="shared" si="4"/>
        <v>0</v>
      </c>
      <c r="AB22" s="314" t="str">
        <f t="shared" si="5"/>
        <v>Cobalt</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9" priority="3">
      <formula>IF($B5="",TRUE)</formula>
    </cfRule>
  </conditionalFormatting>
  <conditionalFormatting sqref="C5:C2504">
    <cfRule type="expression" dxfId="18" priority="12" stopIfTrue="1">
      <formula>IF(AND(B5&lt;&gt;"",C5=""),TRUE)</formula>
    </cfRule>
  </conditionalFormatting>
  <conditionalFormatting sqref="D5:D2504">
    <cfRule type="expression" priority="1" stopIfTrue="1">
      <formula>IF($D5&lt;&gt;"",TRUE)</formula>
    </cfRule>
    <cfRule type="expression" dxfId="17" priority="2" stopIfTrue="1">
      <formula>IF($C5="Smelter not listed",TRUE)</formula>
    </cfRule>
    <cfRule type="expression" dxfId="16" priority="14" stopIfTrue="1">
      <formula>IF($C5&lt;&gt;"",TRUE)</formula>
    </cfRule>
  </conditionalFormatting>
  <conditionalFormatting sqref="E5:E2504">
    <cfRule type="expression" dxfId="15" priority="8" stopIfTrue="1">
      <formula>IF(AND(E5="",$C5=$X$4),TRUE)</formula>
    </cfRule>
  </conditionalFormatting>
  <conditionalFormatting sqref="G5:G2504">
    <cfRule type="expression" dxfId="14"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108" activePane="bottomRight" state="frozen"/>
      <selection pane="topRight" activeCell="B24" sqref="B24:J24"/>
      <selection pane="bottomLeft" activeCell="B24" sqref="B24:J24"/>
      <selection pane="bottomRight" activeCell="D114" sqref="D11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Afin de s’assurer que tous les champs obligatoires ont été complétés avant de soumettre le document à vos clients, merci de vérifier tous les champs surlignés en rouge</v>
      </c>
      <c r="B1" s="468"/>
      <c r="C1" s="468"/>
      <c r="D1" s="108" t="str">
        <f ca="1">OFFSET(L!$C$1,MATCH("Checker"&amp;ADDRESS(ROW(),COLUMN(),4),L!$A:$A,0)-1,SL,,)</f>
        <v>Champs obligatoires non complétés</v>
      </c>
      <c r="E1" s="16" t="s">
        <v>18</v>
      </c>
    </row>
    <row r="2" spans="1:10" ht="15.75">
      <c r="A2" s="58" t="s">
        <v>47</v>
      </c>
      <c r="B2" s="59" t="str">
        <f>IF(F114=1,"Click here to return to Smelter List","")</f>
        <v>Click here to return to Smelter List</v>
      </c>
      <c r="C2" s="111" t="str">
        <f>IF(F112=1,"Click here to return to Product List","")</f>
        <v/>
      </c>
      <c r="D2" s="133">
        <f ca="1">IF(H125=0,"0",H125)</f>
        <v>2</v>
      </c>
    </row>
    <row r="3" spans="1:10" ht="15">
      <c r="A3" s="60" t="str">
        <f ca="1">OFFSET(L!$C$1,MATCH("Checker"&amp;ADDRESS(ROW(),COLUMN(),4),L!$A:$A,0)-1,SL,,)</f>
        <v>Champs obligatoires</v>
      </c>
      <c r="B3" s="60" t="str">
        <f ca="1">OFFSET(L!$C$1,MATCH("Checker"&amp;ADDRESS(ROW(),COLUMN(),4),L!$A:$A,0)-1,SL,,)</f>
        <v>Réponse fournie</v>
      </c>
      <c r="C3" s="60" t="str">
        <f ca="1">OFFSET(L!$C$1,MATCH("Checker"&amp;ADDRESS(ROW(),COLUMN(),4),L!$A:$A,0)-1,SL,,)</f>
        <v>Remarques</v>
      </c>
      <c r="D3" s="60" t="str">
        <f ca="1">OFFSET(L!$C$1,MATCH("Checker"&amp;ADDRESS(ROW(),COLUMN(),4),L!$A:$A,0)-1,SL,,)</f>
        <v>Lien au document d’origine</v>
      </c>
      <c r="F3" s="61" t="s">
        <v>48</v>
      </c>
      <c r="G3" s="15" t="s">
        <v>49</v>
      </c>
      <c r="H3" s="15" t="s">
        <v>50</v>
      </c>
      <c r="I3" s="15" t="s">
        <v>51</v>
      </c>
      <c r="J3" s="15" t="s">
        <v>52</v>
      </c>
    </row>
    <row r="4" spans="1:10" ht="39">
      <c r="A4" s="135" t="str">
        <f ca="1">Declaration!B8</f>
        <v>Nom de l’entreprise (*) :</v>
      </c>
      <c r="B4" s="356" t="str">
        <f>Declaration!D8</f>
        <v>MGB France</v>
      </c>
      <c r="C4" s="136" t="str">
        <f t="shared" ref="C4:C11" ca="1" si="0">IF(H4=1,J4,I4)</f>
        <v>Complétez</v>
      </c>
      <c r="D4" s="204" t="str">
        <f>IF(H4=1,"Click here to enter Company Name","")</f>
        <v/>
      </c>
      <c r="E4" s="16" t="s">
        <v>15</v>
      </c>
      <c r="F4" s="83">
        <v>1</v>
      </c>
      <c r="G4" s="62">
        <f t="shared" ref="G4:G11" si="1">IF(B4=0,1,0)</f>
        <v>0</v>
      </c>
      <c r="H4" s="63">
        <f t="shared" ref="H4:H17" si="2">F4*G4</f>
        <v>0</v>
      </c>
      <c r="I4" s="131" t="str">
        <f ca="1">OFFSET(L!$C$1,MATCH("Checker"&amp;"Comp",L!$A:$A,0)-1,SL,,)</f>
        <v>Complétez</v>
      </c>
      <c r="J4" s="358" t="str">
        <f ca="1">OFFSET(L!$C$1,MATCH("Checker"&amp;ADDRESS(ROW(),COLUMN(),4),L!$A:$A,0)-1,SL,,)</f>
        <v xml:space="preserve">Indiquez le nom de votre entreprise dans la cellule D8 de l’onglet Déclaration </v>
      </c>
    </row>
    <row r="5" spans="1:10" ht="39">
      <c r="A5" s="135" t="str">
        <f ca="1">Declaration!B9</f>
        <v>Périmètre de la déclaration (*) :</v>
      </c>
      <c r="B5" s="356" t="str">
        <f>Declaration!D9</f>
        <v>A. Company</v>
      </c>
      <c r="C5" s="136" t="str">
        <f t="shared" ca="1" si="0"/>
        <v>Complétez</v>
      </c>
      <c r="D5" s="85" t="str">
        <f>IF(H5=1,"Click here to enter Declaration Scope","")</f>
        <v/>
      </c>
      <c r="E5" s="16" t="s">
        <v>15</v>
      </c>
      <c r="F5" s="83">
        <v>1</v>
      </c>
      <c r="G5" s="62">
        <f t="shared" si="1"/>
        <v>0</v>
      </c>
      <c r="H5" s="63">
        <f t="shared" si="2"/>
        <v>0</v>
      </c>
      <c r="I5" s="131" t="str">
        <f ca="1">OFFSET(L!$C$1,MATCH("Checker"&amp;"Comp",L!$A:$A,0)-1,SL,,)</f>
        <v>Complétez</v>
      </c>
      <c r="J5" s="132" t="str">
        <f ca="1">OFFSET(L!$C$1,MATCH("Checker"&amp;ADDRESS(ROW(),COLUMN(),4),L!$A:$A,0)-1,SL,,)</f>
        <v xml:space="preserve">Sélectionnez le champ d’application de la déclaration dans la cellule D9 de l’onglet Déclaration </v>
      </c>
    </row>
    <row r="6" spans="1:10" ht="21.95" customHeight="1">
      <c r="A6" s="80" t="str">
        <f ca="1">Declaration!B10</f>
        <v>Description du périmètre :</v>
      </c>
      <c r="B6" s="79" t="str">
        <f>Declaration!D10</f>
        <v>Bar turning company</v>
      </c>
      <c r="C6" s="79" t="str">
        <f t="shared" ca="1" si="0"/>
        <v>Complétez</v>
      </c>
      <c r="D6" s="85" t="str">
        <f>IF(H6=1,"Click here to provide a Description of Scope","")</f>
        <v/>
      </c>
      <c r="E6" s="16" t="s">
        <v>15</v>
      </c>
      <c r="F6" s="84">
        <f>IF(OR(B5=Declaration!P9,B5=Declaration!Q9,B5=0),0,1)</f>
        <v>0</v>
      </c>
      <c r="G6" s="62">
        <f t="shared" si="1"/>
        <v>0</v>
      </c>
      <c r="H6" s="63">
        <f t="shared" si="2"/>
        <v>0</v>
      </c>
      <c r="I6" s="131" t="str">
        <f ca="1">OFFSET(L!$C$1,MATCH("Checker"&amp;"Comp",L!$A:$A,0)-1,SL,,)</f>
        <v>Complétez</v>
      </c>
      <c r="J6" s="15" t="str">
        <f ca="1">OFFSET(L!$C$1,MATCH("Checker"&amp;ADDRESS(ROW(),COLUMN(),4),L!$A:$A,0)-1,SL,,)</f>
        <v xml:space="preserve">Saisissez une description du champ d’application dans la cellule D10 de l’onglet Déclaration </v>
      </c>
    </row>
    <row r="7" spans="1:10" ht="21.95" customHeight="1">
      <c r="A7" s="80" t="str">
        <f ca="1">Declaration!B12</f>
        <v>Choisissez le champ d'application de la déclaration des minerais de votre entreprise (*)</v>
      </c>
      <c r="B7" s="82"/>
      <c r="C7" s="79" t="str">
        <f t="shared" ca="1" si="0"/>
        <v>Complétez</v>
      </c>
      <c r="D7" s="317" t="str">
        <f>IF(H7=1,"Click here to enter Minerals/Metals in Scope","")</f>
        <v/>
      </c>
      <c r="E7" s="16"/>
      <c r="F7" s="83">
        <v>1</v>
      </c>
      <c r="G7" s="308">
        <f>IF(Declaration!B30&lt;&gt;"",0,1)</f>
        <v>0</v>
      </c>
      <c r="H7" s="63">
        <f t="shared" si="2"/>
        <v>0</v>
      </c>
      <c r="I7" s="131" t="str">
        <f ca="1">OFFSET(L!$C$1,MATCH("Checker"&amp;"Comp",L!$A:$A,0)-1,SL,,)</f>
        <v>Complétez</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Nom du contact (*) :</v>
      </c>
      <c r="B9" s="356" t="str">
        <f>Declaration!D19</f>
        <v>Damien GUIDO</v>
      </c>
      <c r="C9" s="136" t="str">
        <f t="shared" ca="1" si="0"/>
        <v>Complétez</v>
      </c>
      <c r="D9" s="317" t="str">
        <f>IF(H9=1,"Click here to enter Contact Name","")</f>
        <v/>
      </c>
      <c r="E9" s="16" t="s">
        <v>15</v>
      </c>
      <c r="F9" s="83">
        <v>1</v>
      </c>
      <c r="G9" s="62">
        <f t="shared" si="1"/>
        <v>0</v>
      </c>
      <c r="H9" s="63">
        <f t="shared" si="2"/>
        <v>0</v>
      </c>
      <c r="I9" s="131" t="str">
        <f ca="1">OFFSET(L!$C$1,MATCH("Checker"&amp;"Comp",L!$A:$A,0)-1,SL,,)</f>
        <v>Complétez</v>
      </c>
      <c r="J9" s="15" t="str">
        <f ca="1">OFFSET(L!$C$1,MATCH("Checker"&amp;ADDRESS(ROW(),COLUMN(),4),L!$A:$A,0)-1,SL,,)</f>
        <v>Saisissez le nom de contact dans la cellule D15 de l’onglet Déclaration</v>
      </c>
    </row>
    <row r="10" spans="1:10" ht="39">
      <c r="A10" s="135" t="str">
        <f ca="1">Declaration!B20</f>
        <v>E-mail du contact (*) :</v>
      </c>
      <c r="B10" s="357" t="str">
        <f>Declaration!D20</f>
        <v>d.guido@mgb.fr</v>
      </c>
      <c r="C10" s="136" t="str">
        <f t="shared" ca="1" si="0"/>
        <v>Complétez</v>
      </c>
      <c r="D10" s="316" t="str">
        <f>IF(H10=1,"Click here to enter Email-Contact","")</f>
        <v/>
      </c>
      <c r="E10" s="16" t="s">
        <v>15</v>
      </c>
      <c r="F10" s="83">
        <v>1</v>
      </c>
      <c r="G10" s="62">
        <f>IF(ISNUMBER(SEARCH("@",B10)),0,1)</f>
        <v>0</v>
      </c>
      <c r="H10" s="63">
        <f t="shared" si="2"/>
        <v>0</v>
      </c>
      <c r="I10" s="131" t="str">
        <f ca="1">OFFSET(L!$C$1,MATCH("Checker"&amp;"Comp",L!$A:$A,0)-1,SL,,)</f>
        <v>Complétez</v>
      </c>
      <c r="J10" s="15" t="str">
        <f ca="1">OFFSET(L!$C$1,MATCH("Checker"&amp;ADDRESS(ROW(),COLUMN(),4),L!$A:$A,0)-1,SL,,)</f>
        <v>Saisissez une adresse e-mail de contact valide dans la cellule D16 de l’onglet Déclaration</v>
      </c>
    </row>
    <row r="11" spans="1:10" ht="39">
      <c r="A11" s="135" t="str">
        <f ca="1">Declaration!B21</f>
        <v>Téléphone du contact (*) :</v>
      </c>
      <c r="B11" s="356" t="str">
        <f>Declaration!D21</f>
        <v>00 33 4 50 98 66 40</v>
      </c>
      <c r="C11" s="136" t="str">
        <f t="shared" ca="1" si="0"/>
        <v>Complétez</v>
      </c>
      <c r="D11" s="316" t="str">
        <f>IF(H11=1,"Click here to enter Phone-Contact","")</f>
        <v/>
      </c>
      <c r="E11" s="16" t="s">
        <v>15</v>
      </c>
      <c r="F11" s="83">
        <v>1</v>
      </c>
      <c r="G11" s="62">
        <f t="shared" si="1"/>
        <v>0</v>
      </c>
      <c r="H11" s="63">
        <f t="shared" si="2"/>
        <v>0</v>
      </c>
      <c r="I11" s="131" t="str">
        <f ca="1">OFFSET(L!$C$1,MATCH("Checker"&amp;"Comp",L!$A:$A,0)-1,SL,,)</f>
        <v>Complétez</v>
      </c>
      <c r="J11" s="15" t="str">
        <f ca="1">OFFSET(L!$C$1,MATCH("Checker"&amp;ADDRESS(ROW(),COLUMN(),4),L!$A:$A,0)-1,SL,,)</f>
        <v>Saisissez un numéro de téléphone de contact dans la cellule D17 de l’onglet Déclaration</v>
      </c>
    </row>
    <row r="12" spans="1:10" ht="39">
      <c r="A12" s="135" t="str">
        <f ca="1">Declaration!B22</f>
        <v>Nom de la personne responsable de la déclaration (*) :</v>
      </c>
      <c r="B12" s="356" t="str">
        <f>Declaration!D22</f>
        <v>Damien GUIDO</v>
      </c>
      <c r="C12" s="136" t="str">
        <f t="shared" ref="C12:C72" ca="1" si="3">IF(H12=1,J12,I12)</f>
        <v>Complétez</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Complétez</v>
      </c>
      <c r="J12" s="15" t="str">
        <f ca="1">OFFSET(L!$C$1,MATCH("Checker"&amp;ADDRESS(ROW(),COLUMN(),4),L!$A:$A,0)-1,SL,,)</f>
        <v>Saisissez le nom de contact du représentant agréé de l’entreprise dans la cellule D18 de l’onglet Déclaration</v>
      </c>
    </row>
    <row r="13" spans="1:10" ht="26.25">
      <c r="A13" s="80" t="str">
        <f ca="1">Declaration!B24</f>
        <v>E-mail du responsable (*) :</v>
      </c>
      <c r="B13" s="81" t="str">
        <f>Declaration!D24</f>
        <v>d.guido@mgb.fr</v>
      </c>
      <c r="C13" s="79" t="str">
        <f t="shared" ca="1" si="3"/>
        <v>Complétez</v>
      </c>
      <c r="D13" s="316" t="str">
        <f>IF(H13=1,"Click here to enter Representative's email","")</f>
        <v/>
      </c>
      <c r="E13" s="16" t="s">
        <v>18916</v>
      </c>
      <c r="F13" s="83">
        <v>1</v>
      </c>
      <c r="G13" s="62">
        <f>IF(ISNUMBER(SEARCH("@",B13)),0,1)</f>
        <v>0</v>
      </c>
      <c r="H13" s="63">
        <f t="shared" si="2"/>
        <v>0</v>
      </c>
      <c r="I13" s="131" t="str">
        <f ca="1">OFFSET(L!$C$1,MATCH("Checker"&amp;"Comp",L!$A:$A,0)-1,SL,,)</f>
        <v>Complétez</v>
      </c>
      <c r="J13" s="359" t="str">
        <f ca="1">OFFSET(L!$C$1,MATCH("Checker"&amp;ADDRESS(ROW(),COLUMN(),4),L!$A:$A,0)-1,SL,,)</f>
        <v>Saisissez une adresse e-mail valide du représentant agréé de la société dans la cellule D20 de l’onglet Déclaration</v>
      </c>
    </row>
    <row r="14" spans="1:10" ht="21.95" customHeight="1">
      <c r="A14" s="80"/>
      <c r="B14" s="79"/>
      <c r="C14" s="79"/>
      <c r="D14" s="85"/>
      <c r="E14" s="16" t="s">
        <v>15</v>
      </c>
      <c r="F14" s="83"/>
      <c r="G14" s="62"/>
      <c r="H14" s="63">
        <f>F14*G14</f>
        <v>0</v>
      </c>
      <c r="I14" s="131"/>
    </row>
    <row r="15" spans="1:10" ht="39">
      <c r="A15" s="80" t="str">
        <f ca="1">Declaration!B26</f>
        <v>Date de la déclaration (*) :</v>
      </c>
      <c r="B15" s="81">
        <f>Declaration!D26</f>
        <v>45859</v>
      </c>
      <c r="C15" s="79" t="str">
        <f t="shared" ca="1" si="3"/>
        <v>Complétez</v>
      </c>
      <c r="D15" s="316" t="str">
        <f>IF(H15=1,"Click here to enter Date of Completion","")</f>
        <v/>
      </c>
      <c r="E15" s="16" t="s">
        <v>15</v>
      </c>
      <c r="F15" s="83">
        <v>1</v>
      </c>
      <c r="G15" s="62">
        <f t="shared" si="4"/>
        <v>0</v>
      </c>
      <c r="H15" s="63">
        <f t="shared" si="2"/>
        <v>0</v>
      </c>
      <c r="I15" s="131" t="str">
        <f ca="1">OFFSET(L!$C$1,MATCH("Checker"&amp;"Comp",L!$A:$A,0)-1,SL,,)</f>
        <v>Complétez</v>
      </c>
      <c r="J15" s="15" t="str">
        <f ca="1">OFFSET(L!$C$1,MATCH("Checker"&amp;ADDRESS(ROW(),COLUMN(),4),L!$A:$A,0)-1,SL,,)</f>
        <v xml:space="preserve">Saisissez la date de remplissage du formulaire dans la cellule D22 de l’onglet Déclaration </v>
      </c>
    </row>
    <row r="16" spans="1:10" ht="24.95" customHeight="1">
      <c r="A16" s="79" t="str">
        <f ca="1">Declaration!B29</f>
        <v>1) Du minerai spécifié est-il intentionnellement ajouté ou utilisé dans le(s) produit(s) ou les processus de production ?</v>
      </c>
      <c r="B16" s="82"/>
      <c r="C16" s="82"/>
      <c r="D16" s="86"/>
      <c r="E16" s="16" t="s">
        <v>16</v>
      </c>
      <c r="F16" s="83"/>
      <c r="H16" s="15">
        <f t="shared" si="2"/>
        <v>0</v>
      </c>
    </row>
    <row r="17" spans="1:10" ht="24.95" customHeight="1">
      <c r="A17" s="80" t="str">
        <f>Declaration!B30</f>
        <v>Cobalt(*)</v>
      </c>
      <c r="B17" s="79" t="str">
        <f>Declaration!D30</f>
        <v>Yes</v>
      </c>
      <c r="C17" s="79" t="str">
        <f t="shared" ca="1" si="3"/>
        <v>Complétez</v>
      </c>
      <c r="D17" s="316" t="str">
        <f>IF(H17=1,"Click here to answer question 1 for specified mineral","")</f>
        <v/>
      </c>
      <c r="E17" s="16" t="s">
        <v>18</v>
      </c>
      <c r="F17" s="323">
        <f>IF(A17="",0,1)</f>
        <v>1</v>
      </c>
      <c r="G17" s="62">
        <f t="shared" si="4"/>
        <v>0</v>
      </c>
      <c r="H17" s="63">
        <f t="shared" si="2"/>
        <v>0</v>
      </c>
      <c r="I17" s="131" t="str">
        <f ca="1">OFFSET(L!$C$1,MATCH("Checker"&amp;"Comp",L!$A:$A,0)-1,SL,,)</f>
        <v>Complétez</v>
      </c>
      <c r="J17" s="132" t="str">
        <f ca="1">OFFSET(L!$C$1,MATCH("Checker"&amp;ADDRESS(ROW(),COLUMN(),4),L!$A:$A,0)-1,SL,,)</f>
        <v xml:space="preserve">Déclarez si du le minerai spécifié est intentionnellement ajouté à vos produits dans la cellule D30 de l’onglet Déclaration </v>
      </c>
    </row>
    <row r="18" spans="1:10" ht="24.95" customHeight="1">
      <c r="A18" s="80" t="str">
        <f>Declaration!B31</f>
        <v>Copper(*)</v>
      </c>
      <c r="B18" s="79" t="str">
        <f>Declaration!D31</f>
        <v>Yes</v>
      </c>
      <c r="C18" s="79" t="str">
        <f t="shared" ca="1" si="3"/>
        <v>Complétez</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Complétez</v>
      </c>
      <c r="J18" s="132" t="str">
        <f ca="1">OFFSET(L!$C$1,MATCH("Checker"&amp;ADDRESS(ROW(),COLUMN(),4),L!$A:$A,0)-1,SL,,)</f>
        <v xml:space="preserve">Déclarez si du le minerai spécifié est intentionnellement ajouté à vos produits dans la cellule D31 de l’onglet Déclaration </v>
      </c>
    </row>
    <row r="19" spans="1:10" ht="24.95" customHeight="1">
      <c r="A19" s="80" t="str">
        <f>Declaration!B32</f>
        <v>Graphite(*)</v>
      </c>
      <c r="B19" s="79" t="str">
        <f>Declaration!D32</f>
        <v>No</v>
      </c>
      <c r="C19" s="79" t="str">
        <f t="shared" ca="1" si="3"/>
        <v>Complétez</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Complétez</v>
      </c>
      <c r="J19" s="132" t="str">
        <f ca="1">OFFSET(L!$C$1,MATCH("Checker"&amp;ADDRESS(ROW(),COLUMN(),4),L!$A:$A,0)-1,SL,,)</f>
        <v xml:space="preserve">Déclarez si du le minerai spécifié est intentionnellement ajouté à vos produits dans la cellule D32 de l’onglet Déclaration </v>
      </c>
    </row>
    <row r="20" spans="1:10" ht="24.95" customHeight="1">
      <c r="A20" s="80" t="str">
        <f>Declaration!B33</f>
        <v>Lithium(*)</v>
      </c>
      <c r="B20" s="79" t="str">
        <f>Declaration!D33</f>
        <v>No</v>
      </c>
      <c r="C20" s="79" t="str">
        <f t="shared" ca="1" si="3"/>
        <v>Complétez</v>
      </c>
      <c r="D20" s="316" t="str">
        <f t="shared" si="8"/>
        <v/>
      </c>
      <c r="E20" s="16" t="s">
        <v>15</v>
      </c>
      <c r="F20" s="323">
        <f t="shared" si="5"/>
        <v>1</v>
      </c>
      <c r="G20" s="62">
        <f t="shared" si="6"/>
        <v>0</v>
      </c>
      <c r="H20" s="63">
        <f t="shared" si="7"/>
        <v>0</v>
      </c>
      <c r="I20" s="131" t="str">
        <f ca="1">OFFSET(L!$C$1,MATCH("Checker"&amp;"Comp",L!$A:$A,0)-1,SL,,)</f>
        <v>Complétez</v>
      </c>
      <c r="J20" s="132" t="str">
        <f ca="1">OFFSET(L!$C$1,MATCH("Checker"&amp;ADDRESS(ROW(),COLUMN(),4),L!$A:$A,0)-1,SL,,)</f>
        <v xml:space="preserve">Déclarez si du le minerai spécifié est intentionnellement ajouté à vos produits dans la cellule D33 de l’onglet Déclaration </v>
      </c>
    </row>
    <row r="21" spans="1:10" ht="24.95" customHeight="1">
      <c r="A21" s="80" t="str">
        <f>Declaration!B34</f>
        <v>Mica(*)</v>
      </c>
      <c r="B21" s="79" t="str">
        <f>Declaration!D34</f>
        <v>No</v>
      </c>
      <c r="C21" s="79" t="str">
        <f t="shared" ca="1" si="3"/>
        <v>Complétez</v>
      </c>
      <c r="D21" s="316" t="str">
        <f t="shared" si="8"/>
        <v/>
      </c>
      <c r="E21" s="16"/>
      <c r="F21" s="323">
        <f t="shared" si="5"/>
        <v>1</v>
      </c>
      <c r="G21" s="62">
        <f t="shared" si="6"/>
        <v>0</v>
      </c>
      <c r="H21" s="63">
        <f t="shared" si="7"/>
        <v>0</v>
      </c>
      <c r="I21" s="131" t="str">
        <f ca="1">OFFSET(L!$C$1,MATCH("Checker"&amp;"Comp",L!$A:$A,0)-1,SL,,)</f>
        <v>Complétez</v>
      </c>
      <c r="J21" s="132" t="str">
        <f ca="1">OFFSET(L!$C$1,MATCH("Checker"&amp;ADDRESS(ROW(),COLUMN(),4),L!$A:$A,0)-1,SL,,)</f>
        <v xml:space="preserve">Déclarez si du le minerai spécifié est intentionnellement ajouté à vos produits dans la cellule D34 de l’onglet Déclaration </v>
      </c>
    </row>
    <row r="22" spans="1:10" ht="24.95" customHeight="1">
      <c r="A22" s="80" t="str">
        <f>Declaration!B35</f>
        <v>Nickel(*)</v>
      </c>
      <c r="B22" s="79" t="str">
        <f>Declaration!D35</f>
        <v>Yes</v>
      </c>
      <c r="C22" s="79" t="str">
        <f t="shared" ca="1" si="3"/>
        <v>Complétez</v>
      </c>
      <c r="D22" s="316" t="str">
        <f t="shared" si="8"/>
        <v/>
      </c>
      <c r="E22" s="16"/>
      <c r="F22" s="323">
        <f t="shared" si="5"/>
        <v>1</v>
      </c>
      <c r="G22" s="62">
        <f t="shared" si="6"/>
        <v>0</v>
      </c>
      <c r="H22" s="63">
        <f t="shared" si="7"/>
        <v>0</v>
      </c>
      <c r="I22" s="131" t="str">
        <f ca="1">OFFSET(L!$C$1,MATCH("Checker"&amp;"Comp",L!$A:$A,0)-1,SL,,)</f>
        <v>Complétez</v>
      </c>
      <c r="J22" s="132" t="str">
        <f ca="1">OFFSET(L!$C$1,MATCH("Checker"&amp;ADDRESS(ROW(),COLUMN(),4),L!$A:$A,0)-1,SL,,)</f>
        <v xml:space="preserve">Déclarez si du le minerai spécifié est intentionnellement ajouté à vos produits dans la cellule D35 de l’onglet Déclaration </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Reste-t-il du minerai spécifié dans le(s) produit(s) ? (*)(*)</v>
      </c>
      <c r="B27" s="82"/>
      <c r="C27" s="82"/>
      <c r="D27" s="86"/>
      <c r="E27" s="16" t="s">
        <v>15</v>
      </c>
      <c r="F27" s="83"/>
      <c r="J27" s="132"/>
    </row>
    <row r="28" spans="1:10" ht="39">
      <c r="A28" s="80" t="str">
        <f>Declaration!B42</f>
        <v>Cobalt(*)</v>
      </c>
      <c r="B28" s="79" t="str">
        <f>Declaration!D42</f>
        <v>Yes</v>
      </c>
      <c r="C28" s="136" t="str">
        <f t="shared" ref="C28:C37" ca="1" si="9">IF(H28=1,J28,I28)</f>
        <v>Complétez</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Complétez</v>
      </c>
      <c r="J28" s="15" t="str">
        <f ca="1">OFFSET(L!$C$1,MATCH("Checker"&amp;ADDRESS(ROW(),COLUMN(),4),L!$A:$A,0)-1,SL,,)</f>
        <v>Déclarez si le minerai spécifié est nécessaire à la production de vos produits et s'il est présent dans les produits finis déclarés dans la cellule D42 de l'onglet Déclaration</v>
      </c>
    </row>
    <row r="29" spans="1:10" ht="39">
      <c r="A29" s="80" t="str">
        <f>Declaration!B43</f>
        <v>Copper(*)</v>
      </c>
      <c r="B29" s="79" t="str">
        <f>Declaration!D43</f>
        <v>Yes</v>
      </c>
      <c r="C29" s="136" t="str">
        <f t="shared" ca="1" si="9"/>
        <v>Complétez</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Complétez</v>
      </c>
      <c r="J29" s="15" t="str">
        <f ca="1">OFFSET(L!$C$1,MATCH("Checker"&amp;ADDRESS(ROW(),COLUMN(),4),L!$A:$A,0)-1,SL,,)</f>
        <v>Déclarez si le minerai spécifié est nécessaire à la production de vos produits et s'il est présent dans les produits finis déclarés dans la cellule D43 de l'onglet Déclaration</v>
      </c>
    </row>
    <row r="30" spans="1:10" ht="15">
      <c r="A30" s="80" t="str">
        <f>Declaration!B44</f>
        <v>Graphite</v>
      </c>
      <c r="B30" s="79">
        <f>Declaration!D44</f>
        <v>0</v>
      </c>
      <c r="C30" s="136" t="str">
        <f t="shared" ca="1" si="9"/>
        <v>Complétez</v>
      </c>
      <c r="D30" s="316" t="str">
        <f t="shared" si="10"/>
        <v/>
      </c>
      <c r="E30" s="16"/>
      <c r="F30" s="84">
        <f t="shared" si="11"/>
        <v>0</v>
      </c>
      <c r="G30" s="62">
        <f t="shared" si="12"/>
        <v>1</v>
      </c>
      <c r="H30" s="63">
        <f t="shared" si="13"/>
        <v>0</v>
      </c>
      <c r="I30" s="131" t="str">
        <f ca="1">OFFSET(L!$C$1,MATCH("Checker"&amp;"Comp",L!$A:$A,0)-1,SL,,)</f>
        <v>Complétez</v>
      </c>
      <c r="J30" s="15" t="str">
        <f ca="1">OFFSET(L!$C$1,MATCH("Checker"&amp;ADDRESS(ROW(),COLUMN(),4),L!$A:$A,0)-1,SL,,)</f>
        <v>Déclarez si le minerai spécifié est nécessaire à la production de vos produits et s'il est présent dans les produits finis déclarés dans la cellule D44 de l'onglet Déclaration</v>
      </c>
    </row>
    <row r="31" spans="1:10" ht="15">
      <c r="A31" s="80" t="str">
        <f>Declaration!B45</f>
        <v>Lithium</v>
      </c>
      <c r="B31" s="79">
        <f>Declaration!D45</f>
        <v>0</v>
      </c>
      <c r="C31" s="136" t="str">
        <f t="shared" ca="1" si="9"/>
        <v>Complétez</v>
      </c>
      <c r="D31" s="316" t="str">
        <f t="shared" si="10"/>
        <v/>
      </c>
      <c r="E31" s="16"/>
      <c r="F31" s="84">
        <f t="shared" si="11"/>
        <v>0</v>
      </c>
      <c r="G31" s="62">
        <f t="shared" si="12"/>
        <v>1</v>
      </c>
      <c r="H31" s="63">
        <f t="shared" si="13"/>
        <v>0</v>
      </c>
      <c r="I31" s="131" t="str">
        <f ca="1">OFFSET(L!$C$1,MATCH("Checker"&amp;"Comp",L!$A:$A,0)-1,SL,,)</f>
        <v>Complétez</v>
      </c>
      <c r="J31" s="15" t="str">
        <f ca="1">OFFSET(L!$C$1,MATCH("Checker"&amp;ADDRESS(ROW(),COLUMN(),4),L!$A:$A,0)-1,SL,,)</f>
        <v>Déclarez si le minerai spécifié est nécessaire à la production de vos produits et s'il est présent dans les produits finis déclarés dans la cellule D45 de l'onglet Déclaration</v>
      </c>
    </row>
    <row r="32" spans="1:10" ht="15">
      <c r="A32" s="80" t="str">
        <f>Declaration!B46</f>
        <v>Mica</v>
      </c>
      <c r="B32" s="79">
        <f>Declaration!D46</f>
        <v>0</v>
      </c>
      <c r="C32" s="136" t="str">
        <f t="shared" ca="1" si="9"/>
        <v>Complétez</v>
      </c>
      <c r="D32" s="316" t="str">
        <f t="shared" si="10"/>
        <v/>
      </c>
      <c r="E32" s="16"/>
      <c r="F32" s="84">
        <f t="shared" si="11"/>
        <v>0</v>
      </c>
      <c r="G32" s="62">
        <f t="shared" si="12"/>
        <v>1</v>
      </c>
      <c r="H32" s="63">
        <f t="shared" si="13"/>
        <v>0</v>
      </c>
      <c r="I32" s="131" t="str">
        <f ca="1">OFFSET(L!$C$1,MATCH("Checker"&amp;"Comp",L!$A:$A,0)-1,SL,,)</f>
        <v>Complétez</v>
      </c>
      <c r="J32" s="15" t="str">
        <f ca="1">OFFSET(L!$C$1,MATCH("Checker"&amp;ADDRESS(ROW(),COLUMN(),4),L!$A:$A,0)-1,SL,,)</f>
        <v>Déclarez si le minerai spécifié est nécessaire à la production de vos produits et s'il est présent dans les produits finis déclarés dans la cellule D46 de l'onglet Déclaration</v>
      </c>
    </row>
    <row r="33" spans="1:10" ht="15">
      <c r="A33" s="80" t="str">
        <f>Declaration!B47</f>
        <v>Nickel(*)</v>
      </c>
      <c r="B33" s="79" t="str">
        <f>Declaration!D47</f>
        <v>Yes</v>
      </c>
      <c r="C33" s="136" t="str">
        <f t="shared" ca="1" si="9"/>
        <v>Complétez</v>
      </c>
      <c r="D33" s="316" t="str">
        <f t="shared" si="10"/>
        <v/>
      </c>
      <c r="E33" s="16"/>
      <c r="F33" s="84">
        <f t="shared" si="11"/>
        <v>1</v>
      </c>
      <c r="G33" s="62">
        <f t="shared" si="12"/>
        <v>0</v>
      </c>
      <c r="H33" s="63">
        <f t="shared" si="13"/>
        <v>0</v>
      </c>
      <c r="I33" s="131" t="str">
        <f ca="1">OFFSET(L!$C$1,MATCH("Checker"&amp;"Comp",L!$A:$A,0)-1,SL,,)</f>
        <v>Complétez</v>
      </c>
      <c r="J33" s="15" t="str">
        <f ca="1">OFFSET(L!$C$1,MATCH("Checker"&amp;ADDRESS(ROW(),COLUMN(),4),L!$A:$A,0)-1,SL,,)</f>
        <v>Déclarez si le minerai spécifié est nécessaire à la production de vos produits et s'il est présent dans les produits finis déclarés dans la cellule D47 de l'onglet Déclaration</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Est-ce que l’une des fonderies ou des transformateurs de votre chaîne d’approvisionnement se fournit en minerai spécifié dans une zone touchée par des conflits et à haut risque ? (Directive de l’OCDE sur la diligence raisonnable, voir l’onglet Définitions)(*)</v>
      </c>
      <c r="B38" s="82"/>
      <c r="C38" s="82"/>
      <c r="D38" s="86"/>
      <c r="E38" s="16" t="s">
        <v>15</v>
      </c>
      <c r="F38" s="83"/>
      <c r="J38" s="132"/>
    </row>
    <row r="39" spans="1:10" ht="39">
      <c r="A39" s="80" t="str">
        <f>Declaration!B54</f>
        <v>Cobalt(*)</v>
      </c>
      <c r="B39" s="79" t="str">
        <f>Declaration!D54</f>
        <v>No</v>
      </c>
      <c r="C39" s="136" t="str">
        <f t="shared" ca="1" si="3"/>
        <v>Complétez</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Complétez</v>
      </c>
      <c r="J39" s="15" t="str">
        <f ca="1">OFFSET(L!$C$1,MATCH("Checker"&amp;ADDRESS(ROW(),COLUMN(),4),L!$A:$A,0)-1,SL,,)</f>
        <v>Déclarez si le minerai spécifié utilisé dans le cadre des produits déclarés dans les réponses à cette enquête provient d’une zone touchée par un conflit et à haut risque dans la cellule D54 de l’onglet Déclaration.</v>
      </c>
    </row>
    <row r="40" spans="1:10" ht="39">
      <c r="A40" s="80" t="str">
        <f>Declaration!B55</f>
        <v>Copper(*)</v>
      </c>
      <c r="B40" s="79" t="str">
        <f>Declaration!D55</f>
        <v>No</v>
      </c>
      <c r="C40" s="136" t="str">
        <f t="shared" ca="1" si="3"/>
        <v>Complétez</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Complétez</v>
      </c>
      <c r="J40" s="15" t="str">
        <f ca="1">OFFSET(L!$C$1,MATCH("Checker"&amp;ADDRESS(ROW(),COLUMN(),4),L!$A:$A,0)-1,SL,,)</f>
        <v>Déclarez si le minerai spécifié utilisé dans le cadre des produits déclarés dans les réponses à cette enquête provient d’une zone touchée par un conflit et à haut risque dans la cellule D55 de l’onglet Déclaration.</v>
      </c>
    </row>
    <row r="41" spans="1:10" ht="15">
      <c r="A41" s="80" t="str">
        <f>Declaration!B56</f>
        <v>Graphite</v>
      </c>
      <c r="B41" s="79">
        <f>Declaration!D56</f>
        <v>0</v>
      </c>
      <c r="C41" s="136" t="str">
        <f t="shared" ca="1" si="3"/>
        <v>Complétez</v>
      </c>
      <c r="D41" s="318" t="str">
        <f t="shared" si="16"/>
        <v/>
      </c>
      <c r="E41" s="16"/>
      <c r="F41" s="84">
        <f t="shared" si="17"/>
        <v>0</v>
      </c>
      <c r="G41" s="62">
        <f t="shared" si="18"/>
        <v>1</v>
      </c>
      <c r="H41" s="63">
        <f t="shared" si="19"/>
        <v>0</v>
      </c>
      <c r="I41" s="131" t="str">
        <f ca="1">OFFSET(L!$C$1,MATCH("Checker"&amp;"Comp",L!$A:$A,0)-1,SL,,)</f>
        <v>Complétez</v>
      </c>
      <c r="J41" s="15" t="str">
        <f ca="1">OFFSET(L!$C$1,MATCH("Checker"&amp;ADDRESS(ROW(),COLUMN(),4),L!$A:$A,0)-1,SL,,)</f>
        <v>Déclarez si le minerai spécifié utilisé dans le cadre des produits déclarés dans les réponses à cette enquête provient d’une zone touchée par un conflit et à haut risque dans la cellule D56 de l’onglet Déclaration.</v>
      </c>
    </row>
    <row r="42" spans="1:10" ht="15">
      <c r="A42" s="80" t="str">
        <f>Declaration!B57</f>
        <v>Lithium</v>
      </c>
      <c r="B42" s="79">
        <f>Declaration!D57</f>
        <v>0</v>
      </c>
      <c r="C42" s="136" t="str">
        <f t="shared" ca="1" si="3"/>
        <v>Complétez</v>
      </c>
      <c r="D42" s="318" t="str">
        <f t="shared" si="16"/>
        <v/>
      </c>
      <c r="E42" s="16"/>
      <c r="F42" s="84">
        <f t="shared" si="17"/>
        <v>0</v>
      </c>
      <c r="G42" s="62">
        <f t="shared" si="18"/>
        <v>1</v>
      </c>
      <c r="H42" s="63">
        <f t="shared" si="19"/>
        <v>0</v>
      </c>
      <c r="I42" s="131" t="str">
        <f ca="1">OFFSET(L!$C$1,MATCH("Checker"&amp;"Comp",L!$A:$A,0)-1,SL,,)</f>
        <v>Complétez</v>
      </c>
      <c r="J42" s="15" t="str">
        <f ca="1">OFFSET(L!$C$1,MATCH("Checker"&amp;ADDRESS(ROW(),COLUMN(),4),L!$A:$A,0)-1,SL,,)</f>
        <v>Déclarez si le minerai spécifié utilisé dans le cadre des produits déclarés dans les réponses à cette enquête provient d’une zone touchée par un conflit et à haut risque dans la cellule D57 de l’onglet Déclaration.</v>
      </c>
    </row>
    <row r="43" spans="1:10" ht="15">
      <c r="A43" s="80" t="str">
        <f>Declaration!B58</f>
        <v>Mica</v>
      </c>
      <c r="B43" s="79">
        <f>Declaration!D58</f>
        <v>0</v>
      </c>
      <c r="C43" s="136" t="str">
        <f t="shared" ca="1" si="3"/>
        <v>Complétez</v>
      </c>
      <c r="D43" s="318" t="str">
        <f t="shared" si="16"/>
        <v/>
      </c>
      <c r="E43" s="16"/>
      <c r="F43" s="84">
        <f t="shared" si="17"/>
        <v>0</v>
      </c>
      <c r="G43" s="62">
        <f t="shared" si="18"/>
        <v>1</v>
      </c>
      <c r="H43" s="63">
        <f t="shared" si="19"/>
        <v>0</v>
      </c>
      <c r="I43" s="131" t="str">
        <f ca="1">OFFSET(L!$C$1,MATCH("Checker"&amp;"Comp",L!$A:$A,0)-1,SL,,)</f>
        <v>Complétez</v>
      </c>
      <c r="J43" s="15" t="str">
        <f ca="1">OFFSET(L!$C$1,MATCH("Checker"&amp;ADDRESS(ROW(),COLUMN(),4),L!$A:$A,0)-1,SL,,)</f>
        <v>Déclarez si le minerai spécifié utilisé dans le cadre des produits déclarés dans les réponses à cette enquête provient d’une zone touchée par un conflit et à haut risque dans la cellule D58 de l’onglet Déclaration.</v>
      </c>
    </row>
    <row r="44" spans="1:10" ht="15">
      <c r="A44" s="80" t="str">
        <f>Declaration!B59</f>
        <v>Nickel(*)</v>
      </c>
      <c r="B44" s="79" t="str">
        <f>Declaration!D59</f>
        <v>No</v>
      </c>
      <c r="C44" s="136" t="str">
        <f t="shared" ca="1" si="3"/>
        <v>Complétez</v>
      </c>
      <c r="D44" s="318" t="str">
        <f t="shared" si="16"/>
        <v/>
      </c>
      <c r="E44" s="16"/>
      <c r="F44" s="84">
        <f t="shared" si="17"/>
        <v>1</v>
      </c>
      <c r="G44" s="62">
        <f t="shared" si="18"/>
        <v>0</v>
      </c>
      <c r="H44" s="63">
        <f t="shared" si="19"/>
        <v>0</v>
      </c>
      <c r="I44" s="131" t="str">
        <f ca="1">OFFSET(L!$C$1,MATCH("Checker"&amp;"Comp",L!$A:$A,0)-1,SL,,)</f>
        <v>Complétez</v>
      </c>
      <c r="J44" s="15" t="str">
        <f ca="1">OFFSET(L!$C$1,MATCH("Checker"&amp;ADDRESS(ROW(),COLUMN(),4),L!$A:$A,0)-1,SL,,)</f>
        <v>Déclarez si le minerai spécifié utilisé dans le cadre des produits déclarés dans les réponses à cette enquête provient d’une zone touchée par un conflit et à haut risque dans la cellule D59 de l’onglet Déclaration.</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Est-ce que 100 % du minerai spécifié provient de sources recyclées ou de déchets ?(*)</v>
      </c>
      <c r="B49" s="82"/>
      <c r="C49" s="82"/>
      <c r="D49" s="86"/>
      <c r="E49" s="16" t="s">
        <v>15</v>
      </c>
      <c r="F49" s="83"/>
      <c r="J49" s="132"/>
    </row>
    <row r="50" spans="1:10" ht="55.5" customHeight="1">
      <c r="A50" s="80" t="str">
        <f>Declaration!B66</f>
        <v>Cobalt(*)</v>
      </c>
      <c r="B50" s="79" t="str">
        <f>Declaration!D66</f>
        <v>No</v>
      </c>
      <c r="C50" s="136" t="str">
        <f ca="1">IF(H50=1,J50,I50)</f>
        <v>Complétez</v>
      </c>
      <c r="D50" s="318" t="str">
        <f>IF(H50=1,"Click here to answer question 4 for specified mineral","")</f>
        <v/>
      </c>
      <c r="E50" s="16" t="s">
        <v>15</v>
      </c>
      <c r="F50" s="84">
        <f>F39</f>
        <v>1</v>
      </c>
      <c r="G50" s="62">
        <f>IF(B50=0,1,0)</f>
        <v>0</v>
      </c>
      <c r="H50" s="63">
        <f>F50*G50</f>
        <v>0</v>
      </c>
      <c r="I50" s="131" t="str">
        <f ca="1">OFFSET(L!$C$1,MATCH("Checker"&amp;"Comp",L!$A:$A,0)-1,SL,,)</f>
        <v>Complétez</v>
      </c>
      <c r="J50" s="132" t="str">
        <f ca="1">OFFSET(L!$C$1,MATCH("Checker"&amp;ADDRESS(ROW(),COLUMN(),4),L!$A:$A,0)-1,SL,,)</f>
        <v>Déclarez si le minerai spécifié utilisé dans le cadre des produits déclarés dans cette réponse à l’enquête provient d’une source entièrement recyclée ou de débris dans la cellule D66 de l’onglet Déclaration</v>
      </c>
    </row>
    <row r="51" spans="1:10" ht="55.5" customHeight="1">
      <c r="A51" s="80" t="str">
        <f>Declaration!B67</f>
        <v>Copper(*)</v>
      </c>
      <c r="B51" s="79" t="str">
        <f>Declaration!D67</f>
        <v>No</v>
      </c>
      <c r="C51" s="136" t="str">
        <f t="shared" ref="C51:C59" ca="1" si="20">IF(H51=1,J51,I51)</f>
        <v>Complétez</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Complétez</v>
      </c>
      <c r="J51" s="132" t="str">
        <f ca="1">OFFSET(L!$C$1,MATCH("Checker"&amp;ADDRESS(ROW(),COLUMN(),4),L!$A:$A,0)-1,SL,,)</f>
        <v>Déclarez si le minerai spécifié utilisé dans le cadre des produits déclarés dans cette réponse à l’enquête provient d’une source entièrement recyclée ou de débris dans la cellule D67 de l’onglet Déclaration</v>
      </c>
    </row>
    <row r="52" spans="1:10" ht="55.5" customHeight="1">
      <c r="A52" s="80" t="str">
        <f>Declaration!B68</f>
        <v>Graphite</v>
      </c>
      <c r="B52" s="79">
        <f>Declaration!D68</f>
        <v>0</v>
      </c>
      <c r="C52" s="136" t="str">
        <f t="shared" ca="1" si="20"/>
        <v>Complétez</v>
      </c>
      <c r="D52" s="318" t="str">
        <f t="shared" si="21"/>
        <v/>
      </c>
      <c r="E52" s="16"/>
      <c r="F52" s="84">
        <f t="shared" si="22"/>
        <v>0</v>
      </c>
      <c r="G52" s="62">
        <f t="shared" si="23"/>
        <v>1</v>
      </c>
      <c r="H52" s="63">
        <f t="shared" si="24"/>
        <v>0</v>
      </c>
      <c r="I52" s="131" t="str">
        <f ca="1">OFFSET(L!$C$1,MATCH("Checker"&amp;"Comp",L!$A:$A,0)-1,SL,,)</f>
        <v>Complétez</v>
      </c>
      <c r="J52" s="132" t="str">
        <f ca="1">OFFSET(L!$C$1,MATCH("Checker"&amp;ADDRESS(ROW(),COLUMN(),4),L!$A:$A,0)-1,SL,,)</f>
        <v>Déclarez si le minerai spécifié utilisé dans le cadre des produits déclarés dans cette réponse à l’enquête provient d’une source entièrement recyclée ou de débris dans la cellule D68 de l’onglet Déclaration</v>
      </c>
    </row>
    <row r="53" spans="1:10" ht="55.5" customHeight="1">
      <c r="A53" s="80" t="str">
        <f>Declaration!B69</f>
        <v>Lithium</v>
      </c>
      <c r="B53" s="79">
        <f>Declaration!D69</f>
        <v>0</v>
      </c>
      <c r="C53" s="136" t="str">
        <f t="shared" ca="1" si="20"/>
        <v>Complétez</v>
      </c>
      <c r="D53" s="318" t="str">
        <f t="shared" si="21"/>
        <v/>
      </c>
      <c r="E53" s="16"/>
      <c r="F53" s="84">
        <f t="shared" si="22"/>
        <v>0</v>
      </c>
      <c r="G53" s="62">
        <f t="shared" si="23"/>
        <v>1</v>
      </c>
      <c r="H53" s="63">
        <f t="shared" si="24"/>
        <v>0</v>
      </c>
      <c r="I53" s="131" t="str">
        <f ca="1">OFFSET(L!$C$1,MATCH("Checker"&amp;"Comp",L!$A:$A,0)-1,SL,,)</f>
        <v>Complétez</v>
      </c>
      <c r="J53" s="132" t="str">
        <f ca="1">OFFSET(L!$C$1,MATCH("Checker"&amp;ADDRESS(ROW(),COLUMN(),4),L!$A:$A,0)-1,SL,,)</f>
        <v>Déclarez si le minerai spécifié utilisé dans le cadre des produits déclarés dans cette réponse à l’enquête provient d’une source entièrement recyclée ou de débris dans la cellule D69 de l’onglet Déclaration</v>
      </c>
    </row>
    <row r="54" spans="1:10" ht="55.5" customHeight="1">
      <c r="A54" s="80" t="str">
        <f>Declaration!B70</f>
        <v>Mica</v>
      </c>
      <c r="B54" s="79">
        <f>Declaration!D70</f>
        <v>0</v>
      </c>
      <c r="C54" s="136" t="str">
        <f t="shared" ca="1" si="20"/>
        <v>Complétez</v>
      </c>
      <c r="D54" s="318" t="str">
        <f t="shared" si="21"/>
        <v/>
      </c>
      <c r="E54" s="16"/>
      <c r="F54" s="84">
        <f t="shared" si="22"/>
        <v>0</v>
      </c>
      <c r="G54" s="62">
        <f t="shared" si="23"/>
        <v>1</v>
      </c>
      <c r="H54" s="63">
        <f t="shared" si="24"/>
        <v>0</v>
      </c>
      <c r="I54" s="131" t="str">
        <f ca="1">OFFSET(L!$C$1,MATCH("Checker"&amp;"Comp",L!$A:$A,0)-1,SL,,)</f>
        <v>Complétez</v>
      </c>
      <c r="J54" s="132" t="str">
        <f ca="1">OFFSET(L!$C$1,MATCH("Checker"&amp;ADDRESS(ROW(),COLUMN(),4),L!$A:$A,0)-1,SL,,)</f>
        <v>Déclarez si le minerai spécifié utilisé dans le cadre des produits déclarés dans cette réponse à l’enquête provient d’une source entièrement recyclée ou de débris dans la cellule D70 de l’onglet Déclaration</v>
      </c>
    </row>
    <row r="55" spans="1:10" ht="55.5" customHeight="1">
      <c r="A55" s="80" t="str">
        <f>Declaration!B71</f>
        <v>Nickel(*)</v>
      </c>
      <c r="B55" s="79" t="str">
        <f>Declaration!D71</f>
        <v>No</v>
      </c>
      <c r="C55" s="136" t="str">
        <f t="shared" ca="1" si="20"/>
        <v>Complétez</v>
      </c>
      <c r="D55" s="318" t="str">
        <f t="shared" si="21"/>
        <v/>
      </c>
      <c r="E55" s="16"/>
      <c r="F55" s="84">
        <f t="shared" si="22"/>
        <v>1</v>
      </c>
      <c r="G55" s="62">
        <f t="shared" si="23"/>
        <v>0</v>
      </c>
      <c r="H55" s="63">
        <f t="shared" si="24"/>
        <v>0</v>
      </c>
      <c r="I55" s="131" t="str">
        <f ca="1">OFFSET(L!$C$1,MATCH("Checker"&amp;"Comp",L!$A:$A,0)-1,SL,,)</f>
        <v>Complétez</v>
      </c>
      <c r="J55" s="132" t="str">
        <f ca="1">OFFSET(L!$C$1,MATCH("Checker"&amp;ADDRESS(ROW(),COLUMN(),4),L!$A:$A,0)-1,SL,,)</f>
        <v>Déclarez si le minerai spécifié utilisé dans le cadre des produits déclarés dans cette réponse à l’enquête provient d’une source entièrement recyclée ou de débris dans la cellule D71 de l’onglet Déclaration</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Combien de fournisseurs concernés (en %) ont répondu à l’enquête sur la chaîne d’approvisionnement ?(*)</v>
      </c>
      <c r="B60" s="82"/>
      <c r="C60" s="82"/>
      <c r="D60" s="86"/>
      <c r="E60" s="16" t="s">
        <v>15</v>
      </c>
      <c r="F60" s="83"/>
    </row>
    <row r="61" spans="1:10" ht="26.25">
      <c r="A61" s="80" t="str">
        <f>Declaration!B78</f>
        <v>Cobalt(*)</v>
      </c>
      <c r="B61" s="79" t="str">
        <f>Declaration!D78</f>
        <v>Greater than 75%</v>
      </c>
      <c r="C61" s="136" t="str">
        <f t="shared" ca="1" si="3"/>
        <v>Complétez</v>
      </c>
      <c r="D61" s="319" t="str">
        <f>IF(H61=1,"Click here to answer question 5 for specified mineral","")</f>
        <v/>
      </c>
      <c r="E61" s="16" t="s">
        <v>18</v>
      </c>
      <c r="F61" s="84">
        <f>F50</f>
        <v>1</v>
      </c>
      <c r="G61" s="62">
        <f t="shared" si="14"/>
        <v>0</v>
      </c>
      <c r="H61" s="63">
        <f t="shared" si="15"/>
        <v>0</v>
      </c>
      <c r="I61" s="131" t="str">
        <f ca="1">OFFSET(L!$C$1,MATCH("Checker"&amp;"Comp",L!$A:$A,0)-1,SL,,)</f>
        <v>Complétez</v>
      </c>
      <c r="J61" s="15" t="str">
        <f ca="1">OFFSET(L!$C$1,MATCH("Checker"&amp;ADDRESS(ROW(),COLUMN(),4),L!$A:$A,0)-1,SL,,)</f>
        <v>Indiquez le pourcentage d'exhaustivité des informations sur la fonderie données par le fournisseur dans la cellule D78 de l'onglet Déclaration</v>
      </c>
    </row>
    <row r="62" spans="1:10" ht="26.25">
      <c r="A62" s="80" t="str">
        <f>Declaration!B79</f>
        <v>Copper(*)</v>
      </c>
      <c r="B62" s="79" t="str">
        <f>Declaration!D79</f>
        <v>50% or less</v>
      </c>
      <c r="C62" s="136" t="str">
        <f t="shared" ca="1" si="3"/>
        <v>Complétez</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Complétez</v>
      </c>
      <c r="J62" s="15" t="str">
        <f ca="1">OFFSET(L!$C$1,MATCH("Checker"&amp;ADDRESS(ROW(),COLUMN(),4),L!$A:$A,0)-1,SL,,)</f>
        <v>Indiquez le pourcentage d'exhaustivité des informations sur la fonderie données par le fournisseur dans la cellule D79 de l'onglet Déclaration</v>
      </c>
    </row>
    <row r="63" spans="1:10" ht="15">
      <c r="A63" s="80" t="str">
        <f>Declaration!B80</f>
        <v>Graphite</v>
      </c>
      <c r="B63" s="79">
        <f>Declaration!D80</f>
        <v>0</v>
      </c>
      <c r="C63" s="136" t="str">
        <f t="shared" ca="1" si="3"/>
        <v>Complétez</v>
      </c>
      <c r="D63" s="319" t="str">
        <f t="shared" si="25"/>
        <v/>
      </c>
      <c r="E63" s="16"/>
      <c r="F63" s="84">
        <f t="shared" si="26"/>
        <v>0</v>
      </c>
      <c r="G63" s="62">
        <f t="shared" si="27"/>
        <v>1</v>
      </c>
      <c r="H63" s="63">
        <f t="shared" si="28"/>
        <v>0</v>
      </c>
      <c r="I63" s="131" t="str">
        <f ca="1">OFFSET(L!$C$1,MATCH("Checker"&amp;"Comp",L!$A:$A,0)-1,SL,,)</f>
        <v>Complétez</v>
      </c>
      <c r="J63" s="15" t="str">
        <f ca="1">OFFSET(L!$C$1,MATCH("Checker"&amp;ADDRESS(ROW(),COLUMN(),4),L!$A:$A,0)-1,SL,,)</f>
        <v>Indiquez le pourcentage d'exhaustivité des informations sur la fonderie données par le fournisseur dans la cellule D80 de l'onglet Déclaration</v>
      </c>
    </row>
    <row r="64" spans="1:10" ht="15">
      <c r="A64" s="80" t="str">
        <f>Declaration!B81</f>
        <v>Lithium</v>
      </c>
      <c r="B64" s="79">
        <f>Declaration!D81</f>
        <v>0</v>
      </c>
      <c r="C64" s="136" t="str">
        <f t="shared" ca="1" si="3"/>
        <v>Complétez</v>
      </c>
      <c r="D64" s="319" t="str">
        <f t="shared" si="25"/>
        <v/>
      </c>
      <c r="E64" s="16"/>
      <c r="F64" s="84">
        <f t="shared" si="26"/>
        <v>0</v>
      </c>
      <c r="G64" s="62">
        <f t="shared" si="27"/>
        <v>1</v>
      </c>
      <c r="H64" s="63">
        <f t="shared" si="28"/>
        <v>0</v>
      </c>
      <c r="I64" s="131" t="str">
        <f ca="1">OFFSET(L!$C$1,MATCH("Checker"&amp;"Comp",L!$A:$A,0)-1,SL,,)</f>
        <v>Complétez</v>
      </c>
      <c r="J64" s="15" t="str">
        <f ca="1">OFFSET(L!$C$1,MATCH("Checker"&amp;ADDRESS(ROW(),COLUMN(),4),L!$A:$A,0)-1,SL,,)</f>
        <v>Indiquez le pourcentage d'exhaustivité des informations sur la fonderie données par le fournisseur dans la cellule D81 de l'onglet Déclaration</v>
      </c>
    </row>
    <row r="65" spans="1:10" ht="15">
      <c r="A65" s="80" t="str">
        <f>Declaration!B82</f>
        <v>Mica</v>
      </c>
      <c r="B65" s="79">
        <f>Declaration!D82</f>
        <v>0</v>
      </c>
      <c r="C65" s="136" t="str">
        <f t="shared" ca="1" si="3"/>
        <v>Complétez</v>
      </c>
      <c r="D65" s="319" t="str">
        <f t="shared" si="25"/>
        <v/>
      </c>
      <c r="E65" s="16"/>
      <c r="F65" s="84">
        <f t="shared" si="26"/>
        <v>0</v>
      </c>
      <c r="G65" s="62">
        <f t="shared" si="27"/>
        <v>1</v>
      </c>
      <c r="H65" s="63">
        <f t="shared" si="28"/>
        <v>0</v>
      </c>
      <c r="I65" s="131" t="str">
        <f ca="1">OFFSET(L!$C$1,MATCH("Checker"&amp;"Comp",L!$A:$A,0)-1,SL,,)</f>
        <v>Complétez</v>
      </c>
      <c r="J65" s="15" t="str">
        <f ca="1">OFFSET(L!$C$1,MATCH("Checker"&amp;ADDRESS(ROW(),COLUMN(),4),L!$A:$A,0)-1,SL,,)</f>
        <v>Indiquez le pourcentage d'exhaustivité des informations sur la fonderie données par le fournisseur dans la cellule D82 de l'onglet Déclaration</v>
      </c>
    </row>
    <row r="66" spans="1:10" ht="15">
      <c r="A66" s="80" t="str">
        <f>Declaration!B83</f>
        <v>Nickel(*)</v>
      </c>
      <c r="B66" s="79" t="str">
        <f>Declaration!D83</f>
        <v>50% or less</v>
      </c>
      <c r="C66" s="136" t="str">
        <f t="shared" ca="1" si="3"/>
        <v>Complétez</v>
      </c>
      <c r="D66" s="319" t="str">
        <f t="shared" si="25"/>
        <v/>
      </c>
      <c r="E66" s="16"/>
      <c r="F66" s="84">
        <f t="shared" si="26"/>
        <v>1</v>
      </c>
      <c r="G66" s="62">
        <f t="shared" si="27"/>
        <v>0</v>
      </c>
      <c r="H66" s="63">
        <f t="shared" si="28"/>
        <v>0</v>
      </c>
      <c r="I66" s="131" t="str">
        <f ca="1">OFFSET(L!$C$1,MATCH("Checker"&amp;"Comp",L!$A:$A,0)-1,SL,,)</f>
        <v>Complétez</v>
      </c>
      <c r="J66" s="15" t="str">
        <f ca="1">OFFSET(L!$C$1,MATCH("Checker"&amp;ADDRESS(ROW(),COLUMN(),4),L!$A:$A,0)-1,SL,,)</f>
        <v>Indiquez le pourcentage d'exhaustivité des informations sur la fonderie données par le fournisseur dans la cellule D83 de l'onglet Déclaration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Avez-vous identifié toutes les fonderies et transformateurs qui fournissent le minerai spécifié à votre chaîne d’approvisionnement ?(*)</v>
      </c>
      <c r="B71" s="82"/>
      <c r="C71" s="82"/>
      <c r="D71" s="86"/>
      <c r="E71" s="16" t="s">
        <v>13</v>
      </c>
      <c r="F71" s="83"/>
    </row>
    <row r="72" spans="1:10" ht="51.75">
      <c r="A72" s="80" t="str">
        <f>Declaration!B90</f>
        <v>Cobalt(*)</v>
      </c>
      <c r="B72" s="79" t="str">
        <f>Declaration!D90</f>
        <v>No</v>
      </c>
      <c r="C72" s="136" t="str">
        <f t="shared" ca="1" si="3"/>
        <v>Complétez</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Complétez</v>
      </c>
      <c r="J72" s="15" t="str">
        <f ca="1">OFFSET(L!$C$1,MATCH("Checker"&amp;ADDRESS(ROW(),COLUMN(),4),L!$A:$A,0)-1,SL,,)</f>
        <v>Déclarez si tous les noms de la fonderie ont été fournis dans cette réponse à l'enquête dans le cadre du champ d'application des produits déclarés dans la cellule D90 de l'onglet Déclaration</v>
      </c>
    </row>
    <row r="73" spans="1:10" ht="51.75">
      <c r="A73" s="80" t="str">
        <f>Declaration!B91</f>
        <v>Copper(*)</v>
      </c>
      <c r="B73" s="79" t="str">
        <f>Declaration!D91</f>
        <v>No</v>
      </c>
      <c r="C73" s="136" t="str">
        <f t="shared" ref="C73:C81" ca="1" si="31">IF(H73=1,J73,I73)</f>
        <v>Complétez</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Complétez</v>
      </c>
      <c r="J73" s="15" t="str">
        <f ca="1">OFFSET(L!$C$1,MATCH("Checker"&amp;ADDRESS(ROW(),COLUMN(),4),L!$A:$A,0)-1,SL,,)</f>
        <v>Déclarez si tous les noms de la fonderie ont été fournis dans cette réponse à l'enquête dans le cadre du champ d'application des produits déclarés dans la cellule D91 de l'onglet Déclaration</v>
      </c>
    </row>
    <row r="74" spans="1:10" ht="15">
      <c r="A74" s="80" t="str">
        <f>Declaration!B92</f>
        <v>Graphite</v>
      </c>
      <c r="B74" s="79">
        <f>Declaration!D92</f>
        <v>0</v>
      </c>
      <c r="C74" s="136" t="str">
        <f t="shared" ca="1" si="31"/>
        <v>Complétez</v>
      </c>
      <c r="D74" s="319" t="str">
        <f t="shared" si="32"/>
        <v/>
      </c>
      <c r="E74" s="16"/>
      <c r="F74" s="84">
        <f t="shared" si="33"/>
        <v>0</v>
      </c>
      <c r="G74" s="62">
        <f t="shared" si="34"/>
        <v>1</v>
      </c>
      <c r="H74" s="63">
        <f t="shared" si="35"/>
        <v>0</v>
      </c>
      <c r="I74" s="131" t="str">
        <f ca="1">OFFSET(L!$C$1,MATCH("Checker"&amp;"Comp",L!$A:$A,0)-1,SL,,)</f>
        <v>Complétez</v>
      </c>
      <c r="J74" s="15" t="str">
        <f ca="1">OFFSET(L!$C$1,MATCH("Checker"&amp;ADDRESS(ROW(),COLUMN(),4),L!$A:$A,0)-1,SL,,)</f>
        <v>Déclarez si tous les noms de la fonderie ont été fournis dans cette réponse à l'enquête dans le cadre du champ d'application des produits déclarés dans la cellule D92 de l'onglet Déclaration</v>
      </c>
    </row>
    <row r="75" spans="1:10" ht="15">
      <c r="A75" s="80" t="str">
        <f>Declaration!B93</f>
        <v>Lithium</v>
      </c>
      <c r="B75" s="79">
        <f>Declaration!D93</f>
        <v>0</v>
      </c>
      <c r="C75" s="136" t="str">
        <f t="shared" ca="1" si="31"/>
        <v>Complétez</v>
      </c>
      <c r="D75" s="319" t="str">
        <f t="shared" si="32"/>
        <v/>
      </c>
      <c r="E75" s="16"/>
      <c r="F75" s="84">
        <f t="shared" si="33"/>
        <v>0</v>
      </c>
      <c r="G75" s="62">
        <f t="shared" si="34"/>
        <v>1</v>
      </c>
      <c r="H75" s="63">
        <f t="shared" si="35"/>
        <v>0</v>
      </c>
      <c r="I75" s="131" t="str">
        <f ca="1">OFFSET(L!$C$1,MATCH("Checker"&amp;"Comp",L!$A:$A,0)-1,SL,,)</f>
        <v>Complétez</v>
      </c>
      <c r="J75" s="15" t="str">
        <f ca="1">OFFSET(L!$C$1,MATCH("Checker"&amp;ADDRESS(ROW(),COLUMN(),4),L!$A:$A,0)-1,SL,,)</f>
        <v>Déclarez si tous les noms de la fonderie ont été fournis dans cette réponse à l'enquête dans le cadre du champ d'application des produits déclarés dans la cellule D93 de l'onglet Déclaration</v>
      </c>
    </row>
    <row r="76" spans="1:10" ht="15">
      <c r="A76" s="80" t="str">
        <f>Declaration!B94</f>
        <v>Mica</v>
      </c>
      <c r="B76" s="79">
        <f>Declaration!D94</f>
        <v>0</v>
      </c>
      <c r="C76" s="136" t="str">
        <f t="shared" ca="1" si="31"/>
        <v>Complétez</v>
      </c>
      <c r="D76" s="319" t="str">
        <f t="shared" si="32"/>
        <v/>
      </c>
      <c r="E76" s="16"/>
      <c r="F76" s="84">
        <f t="shared" si="33"/>
        <v>0</v>
      </c>
      <c r="G76" s="62">
        <f t="shared" si="34"/>
        <v>1</v>
      </c>
      <c r="H76" s="63">
        <f t="shared" si="35"/>
        <v>0</v>
      </c>
      <c r="I76" s="131" t="str">
        <f ca="1">OFFSET(L!$C$1,MATCH("Checker"&amp;"Comp",L!$A:$A,0)-1,SL,,)</f>
        <v>Complétez</v>
      </c>
      <c r="J76" s="15" t="str">
        <f ca="1">OFFSET(L!$C$1,MATCH("Checker"&amp;ADDRESS(ROW(),COLUMN(),4),L!$A:$A,0)-1,SL,,)</f>
        <v>Déclarez si tous les noms de la fonderie ont été fournis dans cette réponse à l'enquête dans le cadre du champ d'application des produits déclarés dans la cellule D94 de l'onglet Déclaration</v>
      </c>
    </row>
    <row r="77" spans="1:10" ht="15">
      <c r="A77" s="80" t="str">
        <f>Declaration!B95</f>
        <v>Nickel(*)</v>
      </c>
      <c r="B77" s="79" t="str">
        <f>Declaration!D95</f>
        <v>No</v>
      </c>
      <c r="C77" s="136" t="str">
        <f t="shared" ca="1" si="31"/>
        <v>Complétez</v>
      </c>
      <c r="D77" s="319" t="str">
        <f t="shared" si="32"/>
        <v/>
      </c>
      <c r="E77" s="16"/>
      <c r="F77" s="84">
        <f t="shared" si="33"/>
        <v>1</v>
      </c>
      <c r="G77" s="62">
        <f t="shared" si="34"/>
        <v>0</v>
      </c>
      <c r="H77" s="63">
        <f t="shared" si="35"/>
        <v>0</v>
      </c>
      <c r="I77" s="131" t="str">
        <f ca="1">OFFSET(L!$C$1,MATCH("Checker"&amp;"Comp",L!$A:$A,0)-1,SL,,)</f>
        <v>Complétez</v>
      </c>
      <c r="J77" s="15" t="str">
        <f ca="1">OFFSET(L!$C$1,MATCH("Checker"&amp;ADDRESS(ROW(),COLUMN(),4),L!$A:$A,0)-1,SL,,)</f>
        <v>Déclarez si tous les noms de la fonderie ont été fournis dans cette réponse à l'enquête dans le cadre du champ d'application des produits déclarés dans la cellule D95 de l'onglet Déclaration</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Est-ce que toutes les informations pertinentes reçues des fonderies et transformateurs par votre société ont été mentionnées dans cette déclaration ?(*)</v>
      </c>
      <c r="B82" s="82"/>
      <c r="C82" s="82"/>
      <c r="D82" s="86"/>
      <c r="E82" s="16" t="s">
        <v>16</v>
      </c>
      <c r="F82" s="83"/>
    </row>
    <row r="83" spans="1:10" ht="41.45" customHeight="1">
      <c r="A83" s="80" t="str">
        <f>Declaration!B102</f>
        <v>Cobalt(*)</v>
      </c>
      <c r="B83" s="79" t="str">
        <f>Declaration!D102</f>
        <v>Yes</v>
      </c>
      <c r="C83" s="136" t="str">
        <f t="shared" ref="C83:C92" ca="1" si="36">IF(H83=1,J83,I83)</f>
        <v>Complétez</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Complétez</v>
      </c>
      <c r="J83" s="15" t="str">
        <f ca="1">OFFSET(L!$C$1,MATCH("Checker"&amp;ADDRESS(ROW(),COLUMN(),4),L!$A:$A,0)-1,SL,,)</f>
        <v>Déclarez si toutes les informations applicables sur la fonderie de minerai spécifié ont été fournies dans la cellule D102 de l'onglet Déclaration</v>
      </c>
    </row>
    <row r="84" spans="1:10" ht="41.45" customHeight="1">
      <c r="A84" s="80" t="str">
        <f>Declaration!B103</f>
        <v>Copper(*)</v>
      </c>
      <c r="B84" s="79" t="str">
        <f>Declaration!D103</f>
        <v>Yes</v>
      </c>
      <c r="C84" s="136" t="str">
        <f t="shared" ca="1" si="36"/>
        <v>Complétez</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Complétez</v>
      </c>
      <c r="J84" s="15" t="str">
        <f ca="1">OFFSET(L!$C$1,MATCH("Checker"&amp;ADDRESS(ROW(),COLUMN(),4),L!$A:$A,0)-1,SL,,)</f>
        <v>Déclarez si toutes les informations applicables sur la fonderie de minerai spécifié ont été fournies dans la cellule D103 de l'onglet Déclaration</v>
      </c>
    </row>
    <row r="85" spans="1:10" ht="41.45" customHeight="1">
      <c r="A85" s="80" t="str">
        <f>Declaration!B104</f>
        <v>Graphite</v>
      </c>
      <c r="B85" s="79">
        <f>Declaration!D104</f>
        <v>0</v>
      </c>
      <c r="C85" s="136" t="str">
        <f t="shared" ca="1" si="36"/>
        <v>Complétez</v>
      </c>
      <c r="D85" s="319" t="str">
        <f t="shared" si="39"/>
        <v/>
      </c>
      <c r="E85" s="16"/>
      <c r="F85" s="84">
        <f t="shared" si="40"/>
        <v>0</v>
      </c>
      <c r="G85" s="62">
        <f t="shared" si="41"/>
        <v>1</v>
      </c>
      <c r="H85" s="63">
        <f t="shared" si="42"/>
        <v>0</v>
      </c>
      <c r="I85" s="131" t="str">
        <f ca="1">OFFSET(L!$C$1,MATCH("Checker"&amp;"Comp",L!$A:$A,0)-1,SL,,)</f>
        <v>Complétez</v>
      </c>
      <c r="J85" s="15" t="str">
        <f ca="1">OFFSET(L!$C$1,MATCH("Checker"&amp;ADDRESS(ROW(),COLUMN(),4),L!$A:$A,0)-1,SL,,)</f>
        <v>Déclarez si toutes les informations applicables sur la fonderie de minerai spécifié ont été fournies dans la cellule D104 de l'onglet Déclaration</v>
      </c>
    </row>
    <row r="86" spans="1:10" ht="41.45" customHeight="1">
      <c r="A86" s="80" t="str">
        <f>Declaration!B105</f>
        <v>Lithium</v>
      </c>
      <c r="B86" s="79">
        <f>Declaration!D105</f>
        <v>0</v>
      </c>
      <c r="C86" s="136" t="str">
        <f t="shared" ca="1" si="36"/>
        <v>Complétez</v>
      </c>
      <c r="D86" s="319" t="str">
        <f t="shared" si="39"/>
        <v/>
      </c>
      <c r="E86" s="16"/>
      <c r="F86" s="84">
        <f t="shared" si="40"/>
        <v>0</v>
      </c>
      <c r="G86" s="62">
        <f t="shared" si="41"/>
        <v>1</v>
      </c>
      <c r="H86" s="63">
        <f t="shared" si="42"/>
        <v>0</v>
      </c>
      <c r="I86" s="131" t="str">
        <f ca="1">OFFSET(L!$C$1,MATCH("Checker"&amp;"Comp",L!$A:$A,0)-1,SL,,)</f>
        <v>Complétez</v>
      </c>
      <c r="J86" s="15" t="str">
        <f ca="1">OFFSET(L!$C$1,MATCH("Checker"&amp;ADDRESS(ROW(),COLUMN(),4),L!$A:$A,0)-1,SL,,)</f>
        <v>Déclarez si toutes les informations applicables sur la fonderie de minerai spécifié ont été fournies dans la cellule D105 de l'onglet Déclaration</v>
      </c>
    </row>
    <row r="87" spans="1:10" ht="41.45" customHeight="1">
      <c r="A87" s="80" t="str">
        <f>Declaration!B106</f>
        <v>Mica</v>
      </c>
      <c r="B87" s="79">
        <f>Declaration!D106</f>
        <v>0</v>
      </c>
      <c r="C87" s="136" t="str">
        <f t="shared" ca="1" si="36"/>
        <v>Complétez</v>
      </c>
      <c r="D87" s="319" t="str">
        <f t="shared" si="39"/>
        <v/>
      </c>
      <c r="E87" s="16"/>
      <c r="F87" s="84">
        <f t="shared" si="40"/>
        <v>0</v>
      </c>
      <c r="G87" s="62">
        <f t="shared" si="41"/>
        <v>1</v>
      </c>
      <c r="H87" s="63">
        <f t="shared" si="42"/>
        <v>0</v>
      </c>
      <c r="I87" s="131" t="str">
        <f ca="1">OFFSET(L!$C$1,MATCH("Checker"&amp;"Comp",L!$A:$A,0)-1,SL,,)</f>
        <v>Complétez</v>
      </c>
      <c r="J87" s="15" t="str">
        <f ca="1">OFFSET(L!$C$1,MATCH("Checker"&amp;ADDRESS(ROW(),COLUMN(),4),L!$A:$A,0)-1,SL,,)</f>
        <v>Déclarez si toutes les informations applicables sur la fonderie de minerai spécifié ont été fournies dans la cellule D106 de l'onglet Déclaration</v>
      </c>
    </row>
    <row r="88" spans="1:10" ht="41.45" customHeight="1">
      <c r="A88" s="80" t="str">
        <f>Declaration!B107</f>
        <v>Nickel(*)</v>
      </c>
      <c r="B88" s="79" t="str">
        <f>Declaration!D107</f>
        <v>Yes</v>
      </c>
      <c r="C88" s="136" t="str">
        <f t="shared" ca="1" si="36"/>
        <v>Complétez</v>
      </c>
      <c r="D88" s="319" t="str">
        <f t="shared" si="39"/>
        <v/>
      </c>
      <c r="E88" s="16"/>
      <c r="F88" s="84">
        <f t="shared" si="40"/>
        <v>1</v>
      </c>
      <c r="G88" s="62">
        <f t="shared" si="41"/>
        <v>0</v>
      </c>
      <c r="H88" s="63">
        <f t="shared" si="42"/>
        <v>0</v>
      </c>
      <c r="I88" s="131" t="str">
        <f ca="1">OFFSET(L!$C$1,MATCH("Checker"&amp;"Comp",L!$A:$A,0)-1,SL,,)</f>
        <v>Complétez</v>
      </c>
      <c r="J88" s="15" t="str">
        <f ca="1">OFFSET(L!$C$1,MATCH("Checker"&amp;ADDRESS(ROW(),COLUMN(),4),L!$A:$A,0)-1,SL,,)</f>
        <v>Déclarez si toutes les informations applicables sur la fonderie de minerai spécifié ont été fournies dans la cellule D107 de l'onglet Déclaration</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Avez-vous mis en place une politique responsable d’approvisionnement en minerais ?(*)</v>
      </c>
      <c r="B94" s="79" t="str">
        <f>Declaration!D115</f>
        <v>Yes</v>
      </c>
      <c r="C94" s="136" t="str">
        <f ca="1">IF(H94=1,J94,I94)</f>
        <v>Complétez</v>
      </c>
      <c r="D94" s="320" t="str">
        <f>IF(H94=1,"Click here to answer question (A)","")</f>
        <v/>
      </c>
      <c r="E94" s="16" t="s">
        <v>15</v>
      </c>
      <c r="F94" s="84">
        <f>IF(SUM(F$39:F$48)=0,0,1)</f>
        <v>1</v>
      </c>
      <c r="G94" s="62">
        <f t="shared" si="14"/>
        <v>0</v>
      </c>
      <c r="H94" s="63">
        <f t="shared" si="15"/>
        <v>0</v>
      </c>
      <c r="I94" s="131" t="str">
        <f ca="1">OFFSET(L!$C$1,MATCH("Checker"&amp;"Comp",L!$A:$A,0)-1,SL,,)</f>
        <v>Complétez</v>
      </c>
      <c r="J94" s="15" t="str">
        <f ca="1">OFFSET(L!$C$1,MATCH("Checker"&amp;ADDRESS(ROW(),COLUMN(),4),L!$A:$A,0)-1,SL,,)</f>
        <v>Répondez dans la cellule D115 de l'onglet Déclaration si votre entreprise a une politique d'approvisionnement responsable en minerais</v>
      </c>
    </row>
    <row r="95" spans="1:10" ht="51">
      <c r="A95" s="79" t="str">
        <f ca="1">Declaration!B117</f>
        <v>B. Votre politique responsable d’approvisionnement en minerais est-elle disponible sur votre site Web ? (remarque : si oui, l'utilisateur doit spécifier l'URL dans le champ commentaire.)(*)</v>
      </c>
      <c r="B95" s="79" t="str">
        <f>Declaration!D117</f>
        <v>No</v>
      </c>
      <c r="C95" s="136" t="str">
        <f ca="1">IF(H95=1,J95,I95)</f>
        <v>Complétez</v>
      </c>
      <c r="D95" s="321" t="str">
        <f>IF(H95=1,"Click here to answer question (B)","")</f>
        <v/>
      </c>
      <c r="E95" s="16" t="s">
        <v>15</v>
      </c>
      <c r="F95" s="84">
        <f t="shared" ref="F95:F111" si="43">F$94</f>
        <v>1</v>
      </c>
      <c r="G95" s="62">
        <f t="shared" si="14"/>
        <v>0</v>
      </c>
      <c r="H95" s="63">
        <f t="shared" si="15"/>
        <v>0</v>
      </c>
      <c r="I95" s="131" t="str">
        <f ca="1">OFFSET(L!$C$1,MATCH("Checker"&amp;"Comp",L!$A:$A,0)-1,SL,,)</f>
        <v>Complétez</v>
      </c>
      <c r="J95" s="15" t="str">
        <f ca="1">OFFSET(L!$C$1,MATCH("Checker"&amp;ADDRESS(ROW(),COLUMN(),4),L!$A:$A,0)-1,SL,,)</f>
        <v>Déclarez si votre compagnie a rendu publiquement accessible votre politique d'approvisionnement responsable en minerais sur votre site Web dans la cellule D117 de l'onglet Déclaration</v>
      </c>
    </row>
    <row r="96" spans="1:10" ht="24.95" customHeight="1">
      <c r="A96" s="79" t="s">
        <v>53</v>
      </c>
      <c r="B96" s="79">
        <f>Declaration!G117</f>
        <v>0</v>
      </c>
      <c r="C96" s="79" t="str">
        <f ca="1">IF(H96=1,J96,I96)</f>
        <v>Complétez</v>
      </c>
      <c r="D96" s="322" t="str">
        <f>IF(H96=1,"Click here to answer question (C)","")</f>
        <v/>
      </c>
      <c r="E96" s="16" t="s">
        <v>15</v>
      </c>
      <c r="F96" s="84">
        <f>IF(AND(F95=1,B95="Yes"),1,0)</f>
        <v>0</v>
      </c>
      <c r="G96" s="62">
        <f>IF(LEN(B96)&gt;1,0,1)</f>
        <v>1</v>
      </c>
      <c r="H96" s="63">
        <f>F96*G96</f>
        <v>0</v>
      </c>
      <c r="I96" s="131" t="str">
        <f ca="1">OFFSET(L!$C$1,MATCH("Checker"&amp;"Comp",L!$A:$A,0)-1,SL,,)</f>
        <v>Complétez</v>
      </c>
      <c r="J96" s="15" t="str">
        <f ca="1">OFFSET(L!$C$1,MATCH("Checker"&amp;ADDRESS(ROW(),COLUMN(),4),L!$A:$A,0)-1,SL,,)</f>
        <v>Saisissez l'URL dans la cellule G71 de l'onglet Déclaration si vous répondez par « Oui » à la question B. Le format de l'URL doit être : www.nomdelentreprise.com</v>
      </c>
    </row>
    <row r="97" spans="1:10" ht="24.95" customHeight="1">
      <c r="A97" s="79" t="str">
        <f ca="1">Declaration!B119</f>
        <v>C. Est-ce que vous imposez à vos fournisseurs directs de s’approvisionner en minerai spécifié auprès de fonderies dont les pratiques de diligence raisonnable ont été validées par un programme d’audit externe indépendant ?(*)</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Complétez</v>
      </c>
      <c r="D98" s="321" t="str">
        <f>IF(H98=1,"Click here to answer question (C)","")</f>
        <v/>
      </c>
      <c r="E98" s="16"/>
      <c r="F98" s="84">
        <f>F39</f>
        <v>1</v>
      </c>
      <c r="G98" s="62">
        <f t="shared" si="14"/>
        <v>0</v>
      </c>
      <c r="H98" s="63">
        <f t="shared" si="15"/>
        <v>0</v>
      </c>
      <c r="I98" s="131" t="str">
        <f ca="1">OFFSET(L!$C$1,MATCH("Checker"&amp;"Comp",L!$A:$A,0)-1,SL,,)</f>
        <v>Complétez</v>
      </c>
      <c r="J98"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v>
      </c>
    </row>
    <row r="99" spans="1:10" ht="81" customHeight="1">
      <c r="A99" s="79" t="str">
        <f>Declaration!B121</f>
        <v>Copper(*)</v>
      </c>
      <c r="B99" s="79" t="str">
        <f>Declaration!D121</f>
        <v>Yes</v>
      </c>
      <c r="C99" s="136" t="str">
        <f t="shared" ca="1" si="44"/>
        <v>Complétez</v>
      </c>
      <c r="D99" s="321" t="str">
        <f>IF(H99=1,"Click here to answer question (C)","")</f>
        <v/>
      </c>
      <c r="E99" s="16"/>
      <c r="F99" s="84">
        <f t="shared" ref="F99:F103" si="45">F40</f>
        <v>1</v>
      </c>
      <c r="G99" s="62">
        <f t="shared" si="14"/>
        <v>0</v>
      </c>
      <c r="H99" s="63">
        <f t="shared" si="15"/>
        <v>0</v>
      </c>
      <c r="I99" s="131" t="str">
        <f ca="1">OFFSET(L!$C$1,MATCH("Checker"&amp;"Comp",L!$A:$A,0)-1,SL,,)</f>
        <v>Complétez</v>
      </c>
      <c r="J99"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v>
      </c>
    </row>
    <row r="100" spans="1:10" ht="81" customHeight="1">
      <c r="A100" s="79" t="str">
        <f>Declaration!B122</f>
        <v>Graphite</v>
      </c>
      <c r="B100" s="79">
        <f>Declaration!D122</f>
        <v>0</v>
      </c>
      <c r="C100" s="136" t="str">
        <f t="shared" ca="1" si="44"/>
        <v>Complétez</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Complétez</v>
      </c>
      <c r="J100"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v>
      </c>
    </row>
    <row r="101" spans="1:10" ht="81" customHeight="1">
      <c r="A101" s="79" t="str">
        <f>Declaration!B123</f>
        <v>Lithium</v>
      </c>
      <c r="B101" s="79">
        <f>Declaration!D123</f>
        <v>0</v>
      </c>
      <c r="C101" s="136" t="str">
        <f t="shared" ca="1" si="44"/>
        <v>Complétez</v>
      </c>
      <c r="D101" s="321" t="str">
        <f t="shared" si="46"/>
        <v/>
      </c>
      <c r="E101" s="16"/>
      <c r="F101" s="84">
        <f t="shared" si="45"/>
        <v>0</v>
      </c>
      <c r="G101" s="62">
        <f t="shared" si="47"/>
        <v>1</v>
      </c>
      <c r="H101" s="63">
        <f t="shared" si="48"/>
        <v>0</v>
      </c>
      <c r="I101" s="131" t="str">
        <f ca="1">OFFSET(L!$C$1,MATCH("Checker"&amp;"Comp",L!$A:$A,0)-1,SL,,)</f>
        <v>Complétez</v>
      </c>
      <c r="J101"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v>
      </c>
    </row>
    <row r="102" spans="1:10" ht="81" customHeight="1">
      <c r="A102" s="79" t="str">
        <f>Declaration!B124</f>
        <v>Mica</v>
      </c>
      <c r="B102" s="79">
        <f>Declaration!D124</f>
        <v>0</v>
      </c>
      <c r="C102" s="136" t="str">
        <f t="shared" ca="1" si="44"/>
        <v>Complétez</v>
      </c>
      <c r="D102" s="321" t="str">
        <f t="shared" si="46"/>
        <v/>
      </c>
      <c r="E102" s="16"/>
      <c r="F102" s="84">
        <f t="shared" si="45"/>
        <v>0</v>
      </c>
      <c r="G102" s="62">
        <f t="shared" si="47"/>
        <v>1</v>
      </c>
      <c r="H102" s="63">
        <f t="shared" si="48"/>
        <v>0</v>
      </c>
      <c r="I102" s="131" t="str">
        <f ca="1">OFFSET(L!$C$1,MATCH("Checker"&amp;"Comp",L!$A:$A,0)-1,SL,,)</f>
        <v>Complétez</v>
      </c>
      <c r="J102"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v>
      </c>
    </row>
    <row r="103" spans="1:10" ht="81" customHeight="1">
      <c r="A103" s="79" t="str">
        <f>Declaration!B125</f>
        <v>Nickel(*)</v>
      </c>
      <c r="B103" s="79" t="str">
        <f>Declaration!D125</f>
        <v>Yes</v>
      </c>
      <c r="C103" s="136" t="str">
        <f t="shared" ca="1" si="44"/>
        <v>Complétez</v>
      </c>
      <c r="D103" s="321" t="str">
        <f t="shared" si="46"/>
        <v/>
      </c>
      <c r="E103" s="16"/>
      <c r="F103" s="84">
        <f t="shared" si="45"/>
        <v>1</v>
      </c>
      <c r="G103" s="62">
        <f t="shared" si="47"/>
        <v>0</v>
      </c>
      <c r="H103" s="63">
        <f t="shared" si="48"/>
        <v>0</v>
      </c>
      <c r="I103" s="131" t="str">
        <f ca="1">OFFSET(L!$C$1,MATCH("Checker"&amp;"Comp",L!$A:$A,0)-1,SL,,)</f>
        <v>Complétez</v>
      </c>
      <c r="J103"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Exigez-vous des pratiques de diligence raisonnable concernant l'approvisionnement responsable ?(*)</v>
      </c>
      <c r="B108" s="79" t="str">
        <f>Declaration!D131</f>
        <v>No</v>
      </c>
      <c r="C108" s="136" t="str">
        <f t="shared" ca="1" si="44"/>
        <v>Complétez</v>
      </c>
      <c r="D108" s="321" t="str">
        <f>IF(H108=1,"Click here to answer question (D)","")</f>
        <v/>
      </c>
      <c r="E108" s="16" t="s">
        <v>15</v>
      </c>
      <c r="F108" s="84">
        <f t="shared" si="43"/>
        <v>1</v>
      </c>
      <c r="G108" s="62">
        <f t="shared" si="14"/>
        <v>0</v>
      </c>
      <c r="H108" s="63">
        <f t="shared" si="15"/>
        <v>0</v>
      </c>
      <c r="I108" s="131" t="str">
        <f ca="1">OFFSET(L!$C$1,MATCH("Checker"&amp;"Comp",L!$A:$A,0)-1,SL,,)</f>
        <v>Complétez</v>
      </c>
      <c r="J108" s="15" t="str">
        <f ca="1">OFFSET(L!$C$1,MATCH("Checker"&amp;ADDRESS(ROW(),COLUMN(),4),L!$A:$A,0)-1,SL,,)</f>
        <v>Répondez dans la cellule D131 de l'onglet Déclaration si vous avez mis en place des mesures d'approvisionnement responsable</v>
      </c>
    </row>
    <row r="109" spans="1:10" ht="39">
      <c r="A109" s="79" t="str">
        <f ca="1">Declaration!B133</f>
        <v>E. Votre société réalise-t-elle des enquêtes sur la chaîne d’approvisionnement en minerai spécifié de votre ou vos fournisseurs concernés ?(*)</v>
      </c>
      <c r="B109" s="79" t="str">
        <f>Declaration!D133</f>
        <v>Yes, in conformance with IPC1755 (e.g. EMRT)</v>
      </c>
      <c r="C109" s="136" t="str">
        <f t="shared" ca="1" si="44"/>
        <v>Complétez</v>
      </c>
      <c r="D109" s="321" t="str">
        <f>IF(H109=1,"Click here to answer question (E)","")</f>
        <v/>
      </c>
      <c r="E109" s="16" t="s">
        <v>15</v>
      </c>
      <c r="F109" s="84">
        <f t="shared" si="43"/>
        <v>1</v>
      </c>
      <c r="G109" s="62">
        <f>IF(B109=0,1,0)</f>
        <v>0</v>
      </c>
      <c r="H109" s="63">
        <f t="shared" si="15"/>
        <v>0</v>
      </c>
      <c r="I109" s="131" t="str">
        <f ca="1">OFFSET(L!$C$1,MATCH("Checker"&amp;"Comp",L!$A:$A,0)-1,SL,,)</f>
        <v>Complétez</v>
      </c>
      <c r="J109" s="15" t="str">
        <f ca="1">OFFSET(L!$C$1,MATCH("Checker"&amp;ADDRESS(ROW(),COLUMN(),4),L!$A:$A,0)-1,SL,,)</f>
        <v>Répondez dans la cellule D133 de l'onglet Déclaration si vous réalisez des enquêtes sur votre chaîne d'approvisionnement en cobalt ou mica naturel</v>
      </c>
    </row>
    <row r="110" spans="1:10" ht="39">
      <c r="A110" s="79" t="str">
        <f ca="1">Declaration!B135</f>
        <v>F. Comparez-vous les informations de diligence raisonnable reçues de vos fournisseurs aux attentes de votre société ?(*)</v>
      </c>
      <c r="B110" s="79" t="str">
        <f>Declaration!D135</f>
        <v>Yes</v>
      </c>
      <c r="C110" s="136" t="str">
        <f t="shared" ca="1" si="44"/>
        <v>Complétez</v>
      </c>
      <c r="D110" s="321" t="str">
        <f>IF(H110=1,"Click here to answer question (F)","")</f>
        <v/>
      </c>
      <c r="E110" s="16" t="s">
        <v>15</v>
      </c>
      <c r="F110" s="84">
        <f t="shared" si="43"/>
        <v>1</v>
      </c>
      <c r="G110" s="62">
        <f>IF(B110=0,1,0)</f>
        <v>0</v>
      </c>
      <c r="H110" s="63">
        <f t="shared" si="15"/>
        <v>0</v>
      </c>
      <c r="I110" s="131" t="str">
        <f ca="1">OFFSET(L!$C$1,MATCH("Checker"&amp;"Comp",L!$A:$A,0)-1,SL,,)</f>
        <v>Complétez</v>
      </c>
      <c r="J110" s="15" t="str">
        <f ca="1">OFFSET(L!$C$1,MATCH("Checker"&amp;ADDRESS(ROW(),COLUMN(),4),L!$A:$A,0)-1,SL,,)</f>
        <v>Répondez dans la cellule D135 de l'onglet Déclaration si vous comparez les réponses de vos fournisseurs aux attentes de votre compagnie</v>
      </c>
    </row>
    <row r="111" spans="1:10" ht="39">
      <c r="A111" s="79" t="str">
        <f ca="1">Declaration!B137</f>
        <v>G. Votre processus d’examen comprend-il la gestion des mesures correctives ?(*)</v>
      </c>
      <c r="B111" s="79" t="str">
        <f>Declaration!D137</f>
        <v>Yes</v>
      </c>
      <c r="C111" s="136" t="str">
        <f t="shared" ca="1" si="44"/>
        <v>Complétez</v>
      </c>
      <c r="D111" s="321" t="str">
        <f>IF(H111=1,"Click here to answer question (G)","")</f>
        <v/>
      </c>
      <c r="E111" s="16" t="s">
        <v>15</v>
      </c>
      <c r="F111" s="84">
        <f t="shared" si="43"/>
        <v>1</v>
      </c>
      <c r="G111" s="62">
        <f t="shared" si="14"/>
        <v>0</v>
      </c>
      <c r="H111" s="63">
        <f t="shared" si="15"/>
        <v>0</v>
      </c>
      <c r="I111" s="131" t="str">
        <f ca="1">OFFSET(L!$C$1,MATCH("Checker"&amp;"Comp",L!$A:$A,0)-1,SL,,)</f>
        <v>Complétez</v>
      </c>
      <c r="J111" s="15" t="str">
        <f ca="1">OFFSET(L!$C$1,MATCH("Checker"&amp;ADDRESS(ROW(),COLUMN(),4),L!$A:$A,0)-1,SL,,)</f>
        <v>Répondez dans la cellule D137 de l'onglet Déclaration si votre processus de validation comprend des actions correctives de la part de la direction</v>
      </c>
    </row>
    <row r="112" spans="1:10" ht="39">
      <c r="A112" s="80" t="s">
        <v>54</v>
      </c>
      <c r="B112" s="79" t="str">
        <f>IF(G112=1,"No products or item numbers listed","One or more product / item numbers have been provided")</f>
        <v>No products or item numbers listed</v>
      </c>
      <c r="C112" s="79" t="str">
        <f t="shared" ca="1" si="44"/>
        <v>Complétez</v>
      </c>
      <c r="D112" s="380" t="str">
        <f>IF(H112=1,"Click here to enter detail on Product List tab","")</f>
        <v/>
      </c>
      <c r="E112" s="16" t="s">
        <v>15</v>
      </c>
      <c r="F112" s="84">
        <f>IF(B5=Declaration!Q9,1,0)</f>
        <v>0</v>
      </c>
      <c r="G112" s="62">
        <f>IF('Product List'!B6="",1,0)</f>
        <v>1</v>
      </c>
      <c r="H112" s="63">
        <f>F112*G112</f>
        <v>0</v>
      </c>
      <c r="I112" s="131" t="str">
        <f ca="1">OFFSET(L!$C$1,MATCH("Checker"&amp;"Comp",L!$A:$A,0)-1,SL,,)</f>
        <v>Complétez</v>
      </c>
      <c r="J112" s="15"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Complétez</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Complétez</v>
      </c>
      <c r="J114" s="15" t="str">
        <f ca="1">OFFSET(L!$C$1,MATCH("Checker"&amp;ADDRESS(ROW(),COLUMN(),4),L!$A:$A,0)-1,SL,,)</f>
        <v>Saisissez la liste des fondeurs qui contribuent de manière importante à la chaîne d'approvisionnement pour le minéral spécifié sur l'onglet Liste de fondeurs.</v>
      </c>
      <c r="K114" s="134">
        <f>IF(H28&gt;0,1,0)</f>
        <v>0</v>
      </c>
    </row>
    <row r="115" spans="1:12" ht="41.45" customHeight="1">
      <c r="A115" s="135" t="str">
        <f>Declaration!AA13</f>
        <v>Copper</v>
      </c>
      <c r="B115" s="79"/>
      <c r="C115" s="136" t="str">
        <f t="shared" ca="1" si="49"/>
        <v>Saisissez la liste des fondeurs qui contribuent de manière importante à la chaîne d'approvisionnement pour le minéral spécifié sur l'onglet Liste de fondeurs.</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Complétez</v>
      </c>
      <c r="J115" s="15" t="str">
        <f ca="1">OFFSET(L!$C$1,MATCH("Checker"&amp;ADDRESS(ROW(),COLUMN(),4),L!$A:$A,0)-1,SL,,)</f>
        <v>Saisissez la liste des fondeurs qui contribuent de manière importante à la chaîne d'approvisionnement pour le minéral spécifié sur l'onglet Liste de fondeurs.</v>
      </c>
      <c r="K115" s="134">
        <f t="shared" ref="K115:K119" si="50">IF(H29&gt;0,1,0)</f>
        <v>0</v>
      </c>
    </row>
    <row r="116" spans="1:12" ht="41.45" customHeight="1">
      <c r="A116" s="135" t="str">
        <f>Declaration!AA14</f>
        <v>Graphite</v>
      </c>
      <c r="B116" s="79"/>
      <c r="C116" s="136" t="str">
        <f t="shared" ca="1" si="49"/>
        <v>Complétez</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Complétez</v>
      </c>
      <c r="J116" s="15" t="str">
        <f ca="1">OFFSET(L!$C$1,MATCH("Checker"&amp;ADDRESS(ROW(),COLUMN(),4),L!$A:$A,0)-1,SL,,)</f>
        <v>Saisissez la liste des fondeurs qui contribuent de manière importante à la chaîne d'approvisionnement pour le minéral spécifié sur l'onglet Liste de fondeurs.</v>
      </c>
      <c r="K116" s="134">
        <f t="shared" si="50"/>
        <v>0</v>
      </c>
    </row>
    <row r="117" spans="1:12" ht="41.45" customHeight="1">
      <c r="A117" s="135" t="str">
        <f>Declaration!AA15</f>
        <v>Lithium</v>
      </c>
      <c r="B117" s="79"/>
      <c r="C117" s="136" t="str">
        <f t="shared" ca="1" si="49"/>
        <v>Complétez</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Complétez</v>
      </c>
      <c r="J117" s="15" t="str">
        <f ca="1">OFFSET(L!$C$1,MATCH("Checker"&amp;ADDRESS(ROW(),COLUMN(),4),L!$A:$A,0)-1,SL,,)</f>
        <v>Saisissez la liste des fondeurs qui contribuent de manière importante à la chaîne d'approvisionnement pour le minéral spécifié sur l'onglet Liste de fondeurs.</v>
      </c>
      <c r="K117" s="134">
        <f t="shared" si="50"/>
        <v>0</v>
      </c>
    </row>
    <row r="118" spans="1:12" ht="41.45" customHeight="1">
      <c r="A118" s="135" t="str">
        <f>Declaration!AA16</f>
        <v>Mica</v>
      </c>
      <c r="B118" s="79"/>
      <c r="C118" s="136" t="str">
        <f t="shared" ca="1" si="49"/>
        <v>Complétez</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Complétez</v>
      </c>
      <c r="J118" s="15" t="str">
        <f ca="1">OFFSET(L!$C$1,MATCH("Checker"&amp;ADDRESS(ROW(),COLUMN(),4),L!$A:$A,0)-1,SL,,)</f>
        <v>Saisissez la liste des fondeurs qui contribuent de manière importante à la chaîne d'approvisionnement pour le minéral spécifié sur l'onglet Liste de fondeurs.</v>
      </c>
      <c r="K118" s="134">
        <f t="shared" si="50"/>
        <v>0</v>
      </c>
    </row>
    <row r="119" spans="1:12" ht="41.45" customHeight="1">
      <c r="A119" s="135" t="str">
        <f>Declaration!AA17</f>
        <v>Nickel</v>
      </c>
      <c r="B119" s="79"/>
      <c r="C119" s="136" t="str">
        <f t="shared" ca="1" si="49"/>
        <v>Saisissez la liste des fondeurs qui contribuent de manière importante à la chaîne d'approvisionnement pour le minéral spécifié sur l'onglet Liste de fondeurs.</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Complétez</v>
      </c>
      <c r="J119" s="15" t="str">
        <f ca="1">OFFSET(L!$C$1,MATCH("Checker"&amp;ADDRESS(ROW(),COLUMN(),4),L!$A:$A,0)-1,SL,,)</f>
        <v>Saisissez la liste des fondeurs qui contribuent de manière importante à la chaîne d'approvisionnement pour le minéral spécifié sur l'onglet Liste de fondeurs.</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Complétez</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13" priority="1" stopIfTrue="1">
      <formula>$F4=0</formula>
    </cfRule>
    <cfRule type="expression" dxfId="12" priority="419" stopIfTrue="1">
      <formula>$H4=0</formula>
    </cfRule>
    <cfRule type="expression" dxfId="11"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69" t="str">
        <f ca="1">OFFSET(L!$C$1,MATCH("Mine List"&amp;ADDRESS(ROW(),COLUMN(),4),L!$A:$A,0)-1,SL,,)</f>
        <v>POUR COMMENCER :</v>
      </c>
      <c r="C2" s="469" t="s">
        <v>19144</v>
      </c>
      <c r="D2" s="469" t="s">
        <v>19144</v>
      </c>
      <c r="E2" s="326"/>
      <c r="F2" s="326"/>
      <c r="G2" s="327"/>
      <c r="H2" s="470"/>
      <c r="I2" s="471"/>
      <c r="J2" s="471"/>
      <c r="K2" s="471"/>
      <c r="L2" s="471"/>
      <c r="M2" s="471"/>
      <c r="N2" s="328"/>
      <c r="O2" s="328"/>
    </row>
    <row r="3" spans="1:19" s="324" customFormat="1" ht="93.95" customHeight="1" thickBot="1">
      <c r="A3" s="360"/>
      <c r="B3" s="472" t="str">
        <f ca="1">OFFSET(L!$C$1,MATCH("Mine List"&amp;ADDRESS(ROW(),COLUMN(),4),L!$A:$A,0)-1,SL,,)</f>
        <v>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v>
      </c>
      <c r="C3" s="472" t="s">
        <v>19144</v>
      </c>
      <c r="D3" s="472" t="s">
        <v>19144</v>
      </c>
      <c r="E3" s="473" t="s">
        <v>19142</v>
      </c>
      <c r="F3" s="473"/>
      <c r="G3" s="474"/>
      <c r="H3" s="329"/>
      <c r="I3" s="330"/>
      <c r="K3" s="331"/>
      <c r="L3" s="331"/>
      <c r="M3" s="332" t="s">
        <v>19342</v>
      </c>
      <c r="N3" s="333"/>
      <c r="O3" s="333"/>
    </row>
    <row r="4" spans="1:19" s="335" customFormat="1" ht="93" customHeight="1" thickBot="1">
      <c r="A4" s="365" t="str">
        <f ca="1">OFFSET(L!$C$1,MATCH("Mine List"&amp;ADDRESS(ROW(),COLUMN(),4),L!$A:$A,0)-1,SL,,)</f>
        <v>Métal</v>
      </c>
      <c r="B4" s="366" t="str">
        <f ca="1">OFFSET(L!$C$1,MATCH("Mine List"&amp;ADDRESS(ROW(),COLUMN(),4),L!$A:$A,0)-1,SL,,)</f>
        <v>Nom de la ou des fonderie(s) qui s’approvisionnent auprès de cette installation minière</v>
      </c>
      <c r="C4" s="366" t="str">
        <f ca="1">OFFSET(L!$C$1,MATCH("Mine List"&amp;ADDRESS(ROW(),COLUMN(),4),L!$A:$A,0)-1,SL,,)</f>
        <v>Nom de l'installation minière (un site minier)</v>
      </c>
      <c r="D4" s="366" t="str">
        <f ca="1">OFFSET(L!$C$1,MATCH("Mine List"&amp;ADDRESS(ROW(),COLUMN(),4),L!$A:$A,0)-1,SL,,)</f>
        <v>Identifiant de l'installation minière (par ex., CID)</v>
      </c>
      <c r="E4" s="366" t="str">
        <f ca="1">OFFSET(L!$C$1,MATCH("Mine List"&amp;ADDRESS(ROW(),COLUMN(),4),L!$A:$A,0)-1,SL,,)</f>
        <v>Type de l'identifiant l'installation minière</v>
      </c>
      <c r="F4" s="366" t="str">
        <f ca="1">OFFSET(L!$C$1,MATCH("Mine List"&amp;ADDRESS(ROW(),COLUMN(),4),L!$A:$A,0)-1,SL,,)</f>
        <v>Localisation de l'installation minière : Pays</v>
      </c>
      <c r="G4" s="366" t="str">
        <f ca="1">OFFSET(L!$C$1,MATCH("Mine List"&amp;ADDRESS(ROW(),COLUMN(),4),L!$A:$A,0)-1,SL,,)</f>
        <v>Localisation de l'installation minière : Rue et Numéro</v>
      </c>
      <c r="H4" s="366" t="str">
        <f ca="1">OFFSET(L!$C$1,MATCH("Mine List"&amp;ADDRESS(ROW(),COLUMN(),4),L!$A:$A,0)-1,SL,,)</f>
        <v>Localisation de l'installation minière : Ville</v>
      </c>
      <c r="I4" s="366" t="str">
        <f ca="1">OFFSET(L!$C$1,MATCH("Mine List"&amp;ADDRESS(ROW(),COLUMN(),4),L!$A:$A,0)-1,SL,,)</f>
        <v>Localisation de l'installation minière : Etat / Province</v>
      </c>
      <c r="J4" s="366" t="str">
        <f ca="1">OFFSET(L!$C$1,MATCH("Mine List"&amp;ADDRESS(ROW(),COLUMN(),4),L!$A:$A,0)-1,SL,,)</f>
        <v>Nom du contact de l'installation minière</v>
      </c>
      <c r="K4" s="366" t="str">
        <f ca="1">OFFSET(L!$C$1,MATCH("Mine List"&amp;ADDRESS(ROW(),COLUMN(),4),L!$A:$A,0)-1,SL,,)</f>
        <v>Email du contact de l'installation minière</v>
      </c>
      <c r="L4" s="366" t="str">
        <f ca="1">OFFSET(L!$C$1,MATCH("Mine List"&amp;ADDRESS(ROW(),COLUMN(),4),L!$A:$A,0)-1,SL,,)</f>
        <v>Prochaines étapes proposées, si applicable</v>
      </c>
      <c r="M4" s="367" t="str">
        <f ca="1">OFFSET(L!$C$1,MATCH("Mine List"&amp;ADDRESS(ROW(),COLUMN(),4),L!$A:$A,0)-1,SL,,)</f>
        <v>Commentaires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10" priority="1" stopIfTrue="1">
      <formula>IF($A5="",TRUE)</formula>
    </cfRule>
    <cfRule type="expression" dxfId="9" priority="2" stopIfTrue="1">
      <formula>IF($A5="",FALSE)</formula>
    </cfRule>
  </conditionalFormatting>
  <conditionalFormatting sqref="B5:C2504">
    <cfRule type="expression" dxfId="8" priority="5" stopIfTrue="1">
      <formula>IF(AND(B5="",$A5&lt;&gt;""),TRUE)</formula>
    </cfRule>
    <cfRule type="expression" dxfId="7" priority="6" stopIfTrue="1">
      <formula>IF(FIND("!",B5),TRUE)</formula>
    </cfRule>
  </conditionalFormatting>
  <conditionalFormatting sqref="F5:F2504">
    <cfRule type="expression" dxfId="6" priority="3" stopIfTrue="1">
      <formula>IF(AND(F5="",$A5&lt;&gt;""),TRUE)</formula>
    </cfRule>
    <cfRule type="expression" dxfId="5"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6" t="str">
        <f ca="1">OFFSET(L!$C$1,MATCH("Product List"&amp;ADDRESS(ROW(),COLUMN(),4),L!$A:$A,0)-1,SL,,)</f>
        <v>Champ à compléter uniquement si le périmètre « Produit (ou liste de produits) » a été sélectionné dans la feuille "Déclaration"</v>
      </c>
      <c r="B1" s="477"/>
      <c r="C1" s="477"/>
      <c r="D1" s="477"/>
      <c r="E1" s="107"/>
    </row>
    <row r="2" spans="1:35">
      <c r="A2" s="19"/>
      <c r="B2" s="109"/>
      <c r="C2" s="109"/>
      <c r="D2"/>
      <c r="E2" s="20"/>
    </row>
    <row r="3" spans="1:35">
      <c r="A3" s="19"/>
      <c r="B3" s="109"/>
      <c r="C3" s="109"/>
      <c r="D3" s="109"/>
      <c r="E3" s="20"/>
    </row>
    <row r="4" spans="1:35" ht="15.75" customHeight="1">
      <c r="A4" s="19"/>
      <c r="B4" s="475" t="s">
        <v>47</v>
      </c>
      <c r="C4" s="475"/>
      <c r="D4" s="475"/>
      <c r="E4" s="20"/>
    </row>
    <row r="5" spans="1:35" ht="30" customHeight="1">
      <c r="A5" s="121"/>
      <c r="B5" s="123" t="str">
        <f ca="1">OFFSET(L!$C$1,MATCH("Product List"&amp;ADDRESS(ROW(),COLUMN(),4),L!$A:$A,0)-1,SL,,)</f>
        <v>Référence du produit du répondant (*)</v>
      </c>
      <c r="C5" s="123" t="str">
        <f ca="1">OFFSET(L!$C$1,MATCH("Product List"&amp;ADDRESS(ROW(),COLUMN(),4),L!$A:$A,0)-1,SL,,)</f>
        <v>Nom du produit du répondant</v>
      </c>
      <c r="D5" s="64" t="str">
        <f ca="1">OFFSET(L!$C$1,MATCH("Product List"&amp;ADDRESS(ROW(),COLUMN(),4),L!$A:$A,0)-1,SL,,)</f>
        <v>Commentaires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8" t="str">
        <f ca="1">OFFSET(L!$C$1,MATCH("General"&amp;"Cpy",L!$A:$A,0)-1,SL,,)</f>
        <v>© 2025 Responsible Minerals Initiative. Tous droits réservés.</v>
      </c>
      <c r="C1001" s="478"/>
      <c r="D1001" s="478"/>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I50" sqref="I50"/>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79"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60" customFormat="1" ht="103.5" customHeight="1">
      <c r="A4" s="158" t="str">
        <f ca="1">OFFSET(L!$C$1,MATCH("Smelter Look-up"&amp;ADDRESS(ROW(),COLUMN(),4),L!$A:$A,0)-1,SL,,)</f>
        <v>Métal</v>
      </c>
      <c r="B4" s="158" t="str">
        <f ca="1">OFFSET(L!$C$1,MATCH("Smelter Look-up"&amp;ADDRESS(ROW(),COLUMN(),4),L!$A:$A,0)-1,SL,,)</f>
        <v>Recherche de fonderie (*)</v>
      </c>
      <c r="C4" s="158" t="str">
        <f ca="1">OFFSET(L!$C$1,MATCH("Smelter Look-up"&amp;ADDRESS(ROW(),COLUMN(),4),L!$A:$A,0)-1,SL,,)</f>
        <v>Noms standard des fonderies</v>
      </c>
      <c r="D4" s="158" t="str">
        <f ca="1">OFFSET(L!$C$1,MATCH("Smelter Look-up"&amp;ADDRESS(ROW(),COLUMN(),4),L!$A:$A,0)-1,SL,,)</f>
        <v xml:space="preserve">Localisation de la fonderie : pays </v>
      </c>
      <c r="E4" s="158" t="str">
        <f ca="1">OFFSET(L!$C$1,MATCH("Smelter Look-up"&amp;ADDRESS(ROW(),COLUMN(),4),L!$A:$A,0)-1,SL,,)</f>
        <v>Identifiant fonderie</v>
      </c>
      <c r="F4" s="158" t="str">
        <f ca="1">OFFSET(L!$C$1,MATCH("Smelter Look-up"&amp;ADDRESS(ROW(),COLUMN(),4),L!$A:$A,0)-1,SL,,)</f>
        <v>Source de l’identifiant de la fonderie</v>
      </c>
      <c r="G4" s="158" t="str">
        <f ca="1">OFFSET(L!$C$1,MATCH("Smelter Look-up"&amp;ADDRESS(ROW(),COLUMN(),4),L!$A:$A,0)-1,SL,,)</f>
        <v>Localisation de la fonderie : Rue</v>
      </c>
      <c r="H4" s="158" t="str">
        <f ca="1">OFFSET(L!$C$1,MATCH("Smelter Look-up"&amp;ADDRESS(ROW(),COLUMN(),4),L!$A:$A,0)-1,SL,,)</f>
        <v>Localisation de la fonderie : Ville</v>
      </c>
      <c r="I4" s="158" t="str">
        <f ca="1">OFFSET(L!$C$1,MATCH("Smelter Look-up"&amp;ADDRESS(ROW(),COLUMN(),4),L!$A:$A,0)-1,SL,,)</f>
        <v>Localisation de la fonderie : État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profil_defaut</cp:lastModifiedBy>
  <cp:revision/>
  <dcterms:created xsi:type="dcterms:W3CDTF">2010-06-21T21:00:23Z</dcterms:created>
  <dcterms:modified xsi:type="dcterms:W3CDTF">2025-07-29T08:19:16Z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