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37" i="5" l="1"/>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AB86" i="5"/>
  <c r="X86" i="5"/>
  <c r="AB85" i="5"/>
  <c r="X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T52" i="5"/>
  <c r="S52" i="5"/>
  <c r="AB51" i="5"/>
  <c r="X51" i="5"/>
  <c r="V51" i="5"/>
  <c r="AB50" i="5"/>
  <c r="X50" i="5"/>
  <c r="V50" i="5"/>
  <c r="AB49" i="5"/>
  <c r="X49" i="5"/>
  <c r="V49" i="5"/>
  <c r="AB48" i="5"/>
  <c r="X48" i="5"/>
  <c r="V48" i="5"/>
  <c r="T48" i="5"/>
  <c r="S48" i="5"/>
  <c r="AB47" i="5"/>
  <c r="X47" i="5"/>
  <c r="V47" i="5"/>
  <c r="AB46" i="5"/>
  <c r="X46" i="5"/>
  <c r="V46" i="5"/>
  <c r="T46" i="5"/>
  <c r="S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76" i="5"/>
  <c r="S21" i="5"/>
  <c r="S80" i="5"/>
  <c r="S51" i="5"/>
  <c r="S32" i="5"/>
  <c r="S131" i="5"/>
  <c r="S58" i="5"/>
  <c r="S31" i="5"/>
  <c r="S82" i="5"/>
  <c r="S92" i="5"/>
  <c r="S49" i="5"/>
  <c r="S90" i="5"/>
  <c r="S132" i="5"/>
  <c r="S66" i="5"/>
  <c r="S36" i="5"/>
  <c r="S28" i="5"/>
  <c r="S5" i="5"/>
  <c r="S97" i="5"/>
  <c r="S71" i="5"/>
  <c r="S98" i="5"/>
  <c r="S65" i="5"/>
  <c r="S115" i="5"/>
  <c r="S96" i="5"/>
  <c r="S9" i="5"/>
  <c r="S109" i="5"/>
  <c r="S35" i="5"/>
  <c r="S26" i="5"/>
  <c r="S75" i="5"/>
  <c r="S101" i="5"/>
  <c r="S47" i="5"/>
  <c r="S137" i="5"/>
  <c r="S68" i="5"/>
  <c r="S89" i="5"/>
  <c r="S18" i="5"/>
  <c r="S106" i="5"/>
  <c r="S110" i="5"/>
  <c r="S45" i="5"/>
  <c r="S25" i="5"/>
  <c r="S119" i="5"/>
  <c r="S113" i="5"/>
  <c r="S127" i="5"/>
  <c r="S73" i="5"/>
  <c r="S64" i="5"/>
  <c r="S54" i="5"/>
  <c r="S59" i="5"/>
  <c r="S133" i="5"/>
  <c r="S93" i="5"/>
  <c r="S44" i="5"/>
  <c r="S38" i="5"/>
  <c r="S107" i="5"/>
  <c r="S108" i="5"/>
  <c r="S39" i="5"/>
  <c r="S105" i="5"/>
  <c r="S74" i="5"/>
  <c r="S30" i="5"/>
  <c r="S29" i="5"/>
  <c r="S88" i="5"/>
  <c r="S125" i="5"/>
  <c r="S123" i="5"/>
  <c r="S91" i="5"/>
  <c r="S33" i="5"/>
  <c r="S62" i="5"/>
  <c r="S135" i="5"/>
  <c r="S100" i="5"/>
  <c r="S83" i="5"/>
  <c r="S8" i="5"/>
  <c r="S72" i="5"/>
  <c r="S60" i="5"/>
  <c r="S117" i="5"/>
  <c r="S122" i="5"/>
  <c r="S112" i="5"/>
  <c r="S27" i="5"/>
  <c r="S104" i="5"/>
  <c r="S15" i="5"/>
  <c r="S61" i="5"/>
  <c r="S79" i="5"/>
  <c r="S14" i="5"/>
  <c r="S37" i="5"/>
  <c r="S23" i="5"/>
  <c r="S12" i="5"/>
  <c r="S111" i="5"/>
  <c r="S22" i="5"/>
  <c r="S41" i="5"/>
  <c r="S78" i="5"/>
  <c r="S63" i="5"/>
  <c r="S118" i="5"/>
  <c r="S17" i="5"/>
  <c r="S57" i="5"/>
  <c r="S84" i="5"/>
  <c r="S129" i="5"/>
  <c r="S13" i="5"/>
  <c r="S10" i="5"/>
  <c r="S6" i="5"/>
  <c r="S55" i="5"/>
  <c r="S121" i="5"/>
  <c r="S69" i="5"/>
  <c r="S95" i="5"/>
  <c r="S56" i="5"/>
  <c r="S34" i="5"/>
  <c r="S81" i="5"/>
  <c r="S128" i="5"/>
  <c r="S67" i="5"/>
  <c r="S130" i="5"/>
  <c r="S16" i="5"/>
  <c r="S124" i="5"/>
  <c r="S70" i="5"/>
  <c r="S126" i="5"/>
  <c r="S19" i="5"/>
  <c r="S99" i="5"/>
  <c r="S42" i="5"/>
  <c r="S120" i="5"/>
  <c r="S50" i="5"/>
  <c r="S77" i="5"/>
  <c r="S20" i="5"/>
  <c r="S134" i="5"/>
  <c r="S24" i="5"/>
  <c r="S53" i="5"/>
  <c r="S40" i="5"/>
  <c r="S102" i="5"/>
  <c r="S116" i="5"/>
  <c r="S103" i="5"/>
  <c r="S43" i="5"/>
  <c r="S11" i="5"/>
  <c r="S94" i="5"/>
  <c r="S114" i="5"/>
  <c r="S7" i="5"/>
  <c r="S136" i="5"/>
  <c r="T138" i="5" l="1"/>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c r="B55" i="6"/>
  <c r="G55" i="6"/>
  <c r="B54" i="6"/>
  <c r="G54" i="6" s="1"/>
  <c r="B17" i="6"/>
  <c r="B16" i="6"/>
  <c r="B15" i="6"/>
  <c r="B20" i="6" s="1"/>
  <c r="G20" i="6" s="1"/>
  <c r="B14" i="6"/>
  <c r="G14" i="6" s="1"/>
  <c r="H14" i="6" s="1"/>
  <c r="H13" i="6"/>
  <c r="B12" i="6"/>
  <c r="G12" i="6" s="1"/>
  <c r="H12" i="6" s="1"/>
  <c r="D12" i="6" s="1"/>
  <c r="B11" i="6"/>
  <c r="G11" i="6"/>
  <c r="H11" i="6"/>
  <c r="D11" i="6" s="1"/>
  <c r="G10" i="6"/>
  <c r="H10" i="6" s="1"/>
  <c r="D10" i="6" s="1"/>
  <c r="G9" i="6"/>
  <c r="H9" i="6" s="1"/>
  <c r="B8" i="6"/>
  <c r="G8" i="6"/>
  <c r="H8" i="6" s="1"/>
  <c r="D8" i="6" s="1"/>
  <c r="B7" i="6"/>
  <c r="G7" i="6" s="1"/>
  <c r="H7" i="6" s="1"/>
  <c r="D7" i="6" s="1"/>
  <c r="B6" i="6"/>
  <c r="G6" i="6" s="1"/>
  <c r="B5" i="6"/>
  <c r="G5" i="6" s="1"/>
  <c r="H5" i="6" s="1"/>
  <c r="D5" i="6" s="1"/>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B90" i="4"/>
  <c r="H67" i="4"/>
  <c r="P47" i="4"/>
  <c r="B47" i="4" s="1"/>
  <c r="A32" i="6" s="1"/>
  <c r="P46" i="4"/>
  <c r="B46" i="4" s="1"/>
  <c r="A31" i="6" s="1"/>
  <c r="P45" i="4"/>
  <c r="B45" i="4" s="1"/>
  <c r="A30" i="6" s="1"/>
  <c r="P44" i="4"/>
  <c r="B44" i="4" s="1"/>
  <c r="A29" i="6" s="1"/>
  <c r="P43" i="4"/>
  <c r="Q43" i="4"/>
  <c r="P41" i="4"/>
  <c r="B41" i="4" s="1"/>
  <c r="A27" i="6" s="1"/>
  <c r="P40" i="4"/>
  <c r="P39" i="4"/>
  <c r="P38" i="4"/>
  <c r="P37" i="4"/>
  <c r="Q37" i="4" s="1"/>
  <c r="P35" i="4"/>
  <c r="P34" i="4"/>
  <c r="P33" i="4"/>
  <c r="P32" i="4"/>
  <c r="P31" i="4"/>
  <c r="Q31" i="4" s="1"/>
  <c r="P29" i="4"/>
  <c r="B29" i="4" s="1"/>
  <c r="A17" i="6" s="1"/>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X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H147" i="5"/>
  <c r="I147" i="5"/>
  <c r="F14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47" i="5"/>
  <c r="AB169" i="5"/>
  <c r="F178" i="5"/>
  <c r="R178" i="5"/>
  <c r="J178" i="5"/>
  <c r="J181" i="5"/>
  <c r="I181" i="5"/>
  <c r="H181" i="5"/>
  <c r="J209" i="5"/>
  <c r="I209" i="5"/>
  <c r="H209" i="5"/>
  <c r="AB240" i="5"/>
  <c r="H270" i="5"/>
  <c r="F270" i="5"/>
  <c r="R270" i="5"/>
  <c r="J270" i="5"/>
  <c r="I270" i="5"/>
  <c r="R311" i="5"/>
  <c r="H311" i="5"/>
  <c r="I311" i="5"/>
  <c r="F311" i="5"/>
  <c r="J311"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G16" i="6"/>
  <c r="H16" i="6"/>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9" i="6"/>
  <c r="G39" i="6" s="1"/>
  <c r="B44" i="6"/>
  <c r="G44" i="6"/>
  <c r="B29" i="6"/>
  <c r="G29"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X280"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G66" i="6"/>
  <c r="G67" i="6"/>
  <c r="G65" i="6"/>
  <c r="T84" i="5"/>
  <c r="T99" i="5"/>
  <c r="T129" i="5"/>
  <c r="T118" i="5"/>
  <c r="T66" i="5"/>
  <c r="T5" i="5"/>
  <c r="T125" i="5"/>
  <c r="T116" i="5"/>
  <c r="T110" i="5"/>
  <c r="T15" i="5"/>
  <c r="T109" i="5"/>
  <c r="T35" i="5"/>
  <c r="T14" i="5"/>
  <c r="T70" i="5"/>
  <c r="T108" i="5"/>
  <c r="T131" i="5"/>
  <c r="T81" i="5"/>
  <c r="T19" i="5"/>
  <c r="T73" i="5"/>
  <c r="T38" i="5"/>
  <c r="T20" i="5"/>
  <c r="T62" i="5"/>
  <c r="T55" i="5"/>
  <c r="T60" i="5"/>
  <c r="T17" i="5"/>
  <c r="T96" i="5"/>
  <c r="T11" i="5"/>
  <c r="T9" i="5"/>
  <c r="T59" i="5"/>
  <c r="T135" i="5"/>
  <c r="T33" i="5"/>
  <c r="T137" i="5"/>
  <c r="T92" i="5"/>
  <c r="T67" i="5"/>
  <c r="T88" i="5"/>
  <c r="T32" i="5"/>
  <c r="T61" i="5"/>
  <c r="T21" i="5"/>
  <c r="T82" i="5"/>
  <c r="T133" i="5"/>
  <c r="T104" i="5"/>
  <c r="T112" i="5"/>
  <c r="T134" i="5"/>
  <c r="T103" i="5"/>
  <c r="T91" i="5"/>
  <c r="T77" i="5"/>
  <c r="T30" i="5"/>
  <c r="T117" i="5"/>
  <c r="T115" i="5"/>
  <c r="T53" i="5"/>
  <c r="G64" i="6" a="1"/>
  <c r="T68" i="5"/>
  <c r="T90" i="5"/>
  <c r="T22" i="5"/>
  <c r="T57" i="5"/>
  <c r="T130" i="5"/>
  <c r="T126" i="5"/>
  <c r="T25" i="5"/>
  <c r="T120" i="5"/>
  <c r="T102" i="5"/>
  <c r="T89" i="5"/>
  <c r="T42" i="5"/>
  <c r="T56" i="5"/>
  <c r="T111" i="5"/>
  <c r="T58" i="5"/>
  <c r="T8" i="5"/>
  <c r="T7" i="5"/>
  <c r="T122" i="5"/>
  <c r="T127" i="5"/>
  <c r="T75" i="5"/>
  <c r="T45" i="5"/>
  <c r="T79" i="5"/>
  <c r="T28" i="5"/>
  <c r="T132" i="5"/>
  <c r="T113" i="5"/>
  <c r="T121" i="5"/>
  <c r="T41" i="5"/>
  <c r="T114" i="5"/>
  <c r="T27" i="5"/>
  <c r="T123" i="5"/>
  <c r="T37" i="5"/>
  <c r="T106" i="5"/>
  <c r="T26" i="5"/>
  <c r="T24" i="5"/>
  <c r="T36" i="5"/>
  <c r="T100" i="5"/>
  <c r="T31" i="5"/>
  <c r="T71" i="5"/>
  <c r="T39" i="5"/>
  <c r="T76" i="5"/>
  <c r="T78" i="5"/>
  <c r="T98" i="5"/>
  <c r="T101" i="5"/>
  <c r="T97" i="5"/>
  <c r="T12" i="5"/>
  <c r="T40" i="5"/>
  <c r="T94" i="5"/>
  <c r="T124" i="5"/>
  <c r="T50" i="5"/>
  <c r="T136" i="5"/>
  <c r="T95" i="5"/>
  <c r="T23" i="5"/>
  <c r="T49" i="5"/>
  <c r="T69" i="5"/>
  <c r="T72" i="5"/>
  <c r="T6" i="5"/>
  <c r="T64" i="5"/>
  <c r="T105" i="5"/>
  <c r="T63" i="5"/>
  <c r="T43" i="5"/>
  <c r="T93" i="5"/>
  <c r="T13" i="5"/>
  <c r="T74" i="5"/>
  <c r="T80" i="5"/>
  <c r="T65" i="5"/>
  <c r="T47" i="5"/>
  <c r="T18" i="5"/>
  <c r="T119" i="5"/>
  <c r="T107" i="5"/>
  <c r="T34" i="5"/>
  <c r="T29" i="5"/>
  <c r="T54" i="5"/>
  <c r="T44" i="5"/>
  <c r="T83" i="5"/>
  <c r="T10" i="5"/>
  <c r="T16" i="5"/>
  <c r="T51" i="5"/>
  <c r="T128" i="5"/>
  <c r="B27" i="6" l="1"/>
  <c r="G27" i="6" s="1"/>
  <c r="H27" i="6" s="1"/>
  <c r="D27" i="6" s="1"/>
  <c r="B42" i="6"/>
  <c r="G42" i="6" s="1"/>
  <c r="B47" i="6"/>
  <c r="G47" i="6" s="1"/>
  <c r="B37" i="6"/>
  <c r="G37" i="6" s="1"/>
  <c r="G22" i="6"/>
  <c r="H22" i="6" s="1"/>
  <c r="B51" i="6"/>
  <c r="G51" i="6" s="1"/>
  <c r="B34" i="4"/>
  <c r="A21" i="6" s="1"/>
  <c r="F68" i="6"/>
  <c r="H68" i="6" s="1"/>
  <c r="C68" i="6" s="1"/>
  <c r="F32" i="6"/>
  <c r="H32" i="6" s="1"/>
  <c r="D32" i="6" s="1"/>
  <c r="F42" i="6"/>
  <c r="F47" i="6"/>
  <c r="F37" i="6"/>
  <c r="F52" i="6"/>
  <c r="H52" i="6" s="1"/>
  <c r="D52" i="6" s="1"/>
  <c r="C17" i="6"/>
  <c r="C16" i="6"/>
  <c r="H21" i="6"/>
  <c r="D21" i="6" s="1"/>
  <c r="K67" i="6"/>
  <c r="B36" i="6"/>
  <c r="G36" i="6" s="1"/>
  <c r="B31" i="6"/>
  <c r="G31" i="6" s="1"/>
  <c r="F26" i="6"/>
  <c r="D16" i="6"/>
  <c r="B41" i="6"/>
  <c r="G41" i="6" s="1"/>
  <c r="B26" i="6"/>
  <c r="G26" i="6" s="1"/>
  <c r="C15" i="6"/>
  <c r="F25" i="6"/>
  <c r="B45" i="6"/>
  <c r="G45" i="6" s="1"/>
  <c r="B25" i="6"/>
  <c r="G25" i="6" s="1"/>
  <c r="B50" i="6"/>
  <c r="G50" i="6" s="1"/>
  <c r="B40" i="6"/>
  <c r="G40" i="6" s="1"/>
  <c r="B35" i="6"/>
  <c r="G35" i="6" s="1"/>
  <c r="F20" i="6"/>
  <c r="H20" i="6" s="1"/>
  <c r="D20" i="6" s="1"/>
  <c r="G15" i="6"/>
  <c r="H15" i="6" s="1"/>
  <c r="B30" i="6"/>
  <c r="G30" i="6" s="1"/>
  <c r="B89" i="4"/>
  <c r="A63" i="6" s="1"/>
  <c r="B67" i="4"/>
  <c r="A48" i="6" s="1"/>
  <c r="B83" i="4"/>
  <c r="A59" i="6" s="1"/>
  <c r="B37" i="4"/>
  <c r="A23" i="6" s="1"/>
  <c r="B49" i="4"/>
  <c r="A33" i="6" s="1"/>
  <c r="B87" i="4"/>
  <c r="A62" i="6" s="1"/>
  <c r="B43" i="4"/>
  <c r="A28" i="6" s="1"/>
  <c r="B61" i="4"/>
  <c r="A43" i="6" s="1"/>
  <c r="B75" i="4"/>
  <c r="A54" i="6" s="1"/>
  <c r="B79" i="4"/>
  <c r="A57" i="6" s="1"/>
  <c r="B81" i="4"/>
  <c r="A58" i="6" s="1"/>
  <c r="B77" i="4"/>
  <c r="A55" i="6" s="1"/>
  <c r="B85" i="4"/>
  <c r="A60" i="6" s="1"/>
  <c r="B31" i="4"/>
  <c r="A18" i="6" s="1"/>
  <c r="B55" i="4"/>
  <c r="A38" i="6" s="1"/>
  <c r="D14" i="6"/>
  <c r="F65" i="6"/>
  <c r="H24" i="6"/>
  <c r="D24" i="6" s="1"/>
  <c r="F49" i="6"/>
  <c r="H49" i="6" s="1"/>
  <c r="D49" i="6" s="1"/>
  <c r="F44" i="6"/>
  <c r="H44" i="6" s="1"/>
  <c r="D44" i="6" s="1"/>
  <c r="F39" i="6"/>
  <c r="H39" i="6" s="1"/>
  <c r="D39" i="6" s="1"/>
  <c r="F29" i="6"/>
  <c r="H29" i="6" s="1"/>
  <c r="D29" i="6" s="1"/>
  <c r="F34" i="6"/>
  <c r="H34" i="6" s="1"/>
  <c r="D34" i="6" s="1"/>
  <c r="C34" i="6"/>
  <c r="B34" i="6"/>
  <c r="G34" i="6" s="1"/>
  <c r="B49" i="6"/>
  <c r="G49" i="6" s="1"/>
  <c r="C29" i="6"/>
  <c r="F19" i="6"/>
  <c r="H19" i="6" s="1"/>
  <c r="D19" i="6" s="1"/>
  <c r="C14" i="6"/>
  <c r="C44" i="6"/>
  <c r="B24" i="6"/>
  <c r="G24" i="6" s="1"/>
  <c r="C39" i="6"/>
  <c r="C12" i="6"/>
  <c r="B53" i="4"/>
  <c r="A37" i="6" s="1"/>
  <c r="B63" i="4"/>
  <c r="A45" i="6" s="1"/>
  <c r="C10" i="6"/>
  <c r="A14" i="6"/>
  <c r="C11" i="6"/>
  <c r="D9" i="6"/>
  <c r="C9" i="6"/>
  <c r="D67" i="4"/>
  <c r="C8" i="6"/>
  <c r="C7" i="6"/>
  <c r="B35" i="4"/>
  <c r="A22" i="6" s="1"/>
  <c r="H6" i="6"/>
  <c r="D6" i="6" s="1"/>
  <c r="B58" i="4"/>
  <c r="A41" i="6" s="1"/>
  <c r="C6" i="6"/>
  <c r="B52" i="4"/>
  <c r="A36" i="6" s="1"/>
  <c r="B68" i="4"/>
  <c r="A49" i="6" s="1"/>
  <c r="B56" i="4"/>
  <c r="A39" i="6" s="1"/>
  <c r="C5" i="6"/>
  <c r="B57" i="4"/>
  <c r="A40" i="6" s="1"/>
  <c r="D55" i="4"/>
  <c r="D37" i="4"/>
  <c r="C4" i="6"/>
  <c r="G61" i="4"/>
  <c r="G49" i="4"/>
  <c r="G31" i="4"/>
  <c r="B51" i="4"/>
  <c r="A35" i="6" s="1"/>
  <c r="B69" i="4"/>
  <c r="A50" i="6" s="1"/>
  <c r="B71" i="4"/>
  <c r="A52" i="6" s="1"/>
  <c r="B65" i="4"/>
  <c r="A47" i="6" s="1"/>
  <c r="B59" i="4"/>
  <c r="A42" i="6" s="1"/>
  <c r="D43" i="4"/>
  <c r="D31" i="4"/>
  <c r="D74" i="4"/>
  <c r="D61" i="4"/>
  <c r="G64" i="6"/>
  <c r="B50" i="4"/>
  <c r="A34" i="6" s="1"/>
  <c r="G37" i="4"/>
  <c r="G67" i="4"/>
  <c r="B33" i="4"/>
  <c r="A20" i="6" s="1"/>
  <c r="A24" i="6"/>
  <c r="B62" i="4"/>
  <c r="A44" i="6" s="1"/>
  <c r="G69" i="6" a="1"/>
  <c r="G69" i="6" s="1"/>
  <c r="F69" i="6"/>
  <c r="B64" i="4"/>
  <c r="A46" i="6" s="1"/>
  <c r="B70" i="4"/>
  <c r="A51" i="6" s="1"/>
  <c r="G55" i="4"/>
  <c r="G74" i="4"/>
  <c r="G43" i="4"/>
  <c r="H42" i="6" l="1"/>
  <c r="C32" i="6"/>
  <c r="C27" i="6"/>
  <c r="H37" i="6"/>
  <c r="D37" i="6" s="1"/>
  <c r="H47" i="6"/>
  <c r="D47" i="6" s="1"/>
  <c r="D22" i="6"/>
  <c r="K68" i="6"/>
  <c r="C22" i="6"/>
  <c r="C21" i="6"/>
  <c r="D68" i="6"/>
  <c r="C37" i="6"/>
  <c r="C52" i="6"/>
  <c r="F51" i="6"/>
  <c r="H51" i="6" s="1"/>
  <c r="F36" i="6"/>
  <c r="H36" i="6" s="1"/>
  <c r="F67" i="6"/>
  <c r="H67" i="6" s="1"/>
  <c r="F31" i="6"/>
  <c r="H31" i="6" s="1"/>
  <c r="H26" i="6"/>
  <c r="F46" i="6"/>
  <c r="H46" i="6" s="1"/>
  <c r="F41" i="6"/>
  <c r="H41" i="6" s="1"/>
  <c r="F35" i="6"/>
  <c r="H35" i="6" s="1"/>
  <c r="F45" i="6"/>
  <c r="H45" i="6" s="1"/>
  <c r="F40" i="6"/>
  <c r="H40" i="6" s="1"/>
  <c r="F66" i="6"/>
  <c r="H66" i="6" s="1"/>
  <c r="F30" i="6"/>
  <c r="H30" i="6" s="1"/>
  <c r="H25" i="6"/>
  <c r="F50" i="6"/>
  <c r="H50" i="6" s="1"/>
  <c r="F54" i="6"/>
  <c r="F58" i="6" s="1"/>
  <c r="H58" i="6" s="1"/>
  <c r="C20" i="6"/>
  <c r="K66" i="6"/>
  <c r="D15" i="6"/>
  <c r="C2" i="6"/>
  <c r="B2" i="6"/>
  <c r="H65" i="6"/>
  <c r="C24" i="6"/>
  <c r="K65" i="6"/>
  <c r="C49" i="6"/>
  <c r="C19" i="6"/>
  <c r="H69" i="6"/>
  <c r="C69" i="6"/>
  <c r="B64" i="6"/>
  <c r="H64" i="6"/>
  <c r="D42" i="6" l="1"/>
  <c r="C42" i="6"/>
  <c r="C47" i="6"/>
  <c r="H54" i="6"/>
  <c r="F59" i="6"/>
  <c r="H59" i="6" s="1"/>
  <c r="D41" i="6"/>
  <c r="C41" i="6"/>
  <c r="F60" i="6"/>
  <c r="H60" i="6" s="1"/>
  <c r="D60" i="6" s="1"/>
  <c r="F55" i="6"/>
  <c r="H55" i="6" s="1"/>
  <c r="F62" i="6"/>
  <c r="H62" i="6" s="1"/>
  <c r="D62" i="6" s="1"/>
  <c r="D46" i="6"/>
  <c r="C46" i="6"/>
  <c r="D67" i="6"/>
  <c r="C67" i="6"/>
  <c r="F63" i="6"/>
  <c r="H63" i="6" s="1"/>
  <c r="D63" i="6" s="1"/>
  <c r="D26" i="6"/>
  <c r="C26" i="6"/>
  <c r="F57" i="6"/>
  <c r="H57" i="6" s="1"/>
  <c r="D57" i="6" s="1"/>
  <c r="D36" i="6"/>
  <c r="C36" i="6"/>
  <c r="D31" i="6"/>
  <c r="C31" i="6"/>
  <c r="D51" i="6"/>
  <c r="C51" i="6"/>
  <c r="D50" i="6"/>
  <c r="C50" i="6"/>
  <c r="D30" i="6"/>
  <c r="C30" i="6"/>
  <c r="C66" i="6"/>
  <c r="D66" i="6"/>
  <c r="D40" i="6"/>
  <c r="C40" i="6"/>
  <c r="D45" i="6"/>
  <c r="C45" i="6"/>
  <c r="D35" i="6"/>
  <c r="C35" i="6"/>
  <c r="D25" i="6"/>
  <c r="C25" i="6"/>
  <c r="D59" i="6"/>
  <c r="C59" i="6"/>
  <c r="D54" i="6"/>
  <c r="C54" i="6"/>
  <c r="D58" i="6"/>
  <c r="C58" i="6"/>
  <c r="D65" i="6"/>
  <c r="C65" i="6"/>
  <c r="D64" i="6"/>
  <c r="C64" i="6"/>
  <c r="C60" i="6" l="1"/>
  <c r="C57" i="6"/>
  <c r="C62" i="6"/>
  <c r="F56" i="6"/>
  <c r="H56" i="6" s="1"/>
  <c r="H70" i="6" s="1"/>
  <c r="D2" i="6" s="1"/>
  <c r="C63" i="6"/>
  <c r="D55" i="6"/>
  <c r="C55" i="6"/>
  <c r="C56" i="6" l="1"/>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<sst xmlns="http://schemas.openxmlformats.org/spreadsheetml/2006/main" count="23747" uniqueCount="15892">
  <si>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</si>
  <si>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</si>
  <si>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</si>
  <si>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</si>
  <si>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</si>
  <si>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</si>
  <si>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</si>
  <si>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</si>
  <si>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</si>
  <si>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</si>
  <si>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</si>
  <si>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</si>
  <si>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</si>
  <si>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</si>
  <si>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</si>
  <si>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</si>
  <si>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</si>
  <si>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</si>
  <si>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</si>
  <si>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</si>
  <si>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</si>
  <si>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</si>
  <si>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</si>
  <si>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</si>
  <si>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</si>
  <si>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</si>
  <si>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</si>
  <si>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</si>
  <si>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</si>
  <si>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</si>
  <si>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</si>
  <si>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</si>
  <si>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</si>
  <si>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</si>
  <si>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</si>
  <si>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</si>
  <si>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</si>
  <si>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</si>
  <si>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</si>
  <si>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</si>
  <si>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</si>
  <si>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</si>
  <si>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</si>
  <si>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</si>
  <si>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</si>
  <si>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</si>
  <si>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</si>
  <si>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</si>
  <si>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</si>
  <si>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</si>
  <si>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</si>
  <si>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</si>
  <si>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</si>
  <si>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</si>
  <si>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</si>
  <si>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</si>
  <si>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</si>
  <si>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</si>
  <si>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</si>
  <si>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</si>
  <si>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</si>
  <si>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</si>
  <si>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</si>
  <si>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</si>
  <si>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</si>
  <si>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</si>
  <si>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</si>
  <si>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</si>
  <si>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</si>
  <si>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</si>
  <si>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</si>
  <si>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</si>
  <si>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</si>
  <si>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</si>
  <si>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</si>
  <si>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</si>
  <si>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</si>
  <si>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</si>
  <si>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</si>
  <si>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</si>
  <si>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</si>
  <si>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</si>
  <si>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</si>
  <si>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</si>
  <si>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</si>
  <si>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</si>
  <si>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</si>
  <si>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</si>
  <si>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</si>
  <si>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</si>
  <si>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</si>
  <si>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</si>
  <si>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</si>
  <si>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</si>
  <si>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</si>
  <si>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</si>
  <si>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</si>
  <si>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</si>
  <si>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</si>
  <si>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</si>
  <si>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</si>
  <si>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</si>
  <si>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</si>
  <si>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</si>
  <si>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</si>
  <si>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</si>
  <si>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</si>
  <si>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</si>
  <si>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</si>
  <si>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</si>
  <si>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</si>
  <si>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</si>
  <si>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</si>
  <si>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</si>
  <si>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</si>
  <si>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</si>
  <si>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</si>
  <si>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</si>
  <si>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</si>
  <si>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</si>
  <si>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</si>
  <si>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</si>
  <si>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</si>
  <si>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</si>
  <si>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</si>
  <si>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</si>
  <si>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</si>
  <si>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</si>
  <si>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</si>
  <si>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</si>
  <si>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</si>
  <si>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</si>
  <si>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</si>
  <si>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</si>
  <si>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</si>
  <si>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</si>
  <si>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</si>
  <si>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</si>
  <si>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</si>
  <si>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</si>
  <si>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</si>
  <si>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</si>
  <si>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</si>
  <si>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</si>
  <si>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</si>
  <si>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</si>
  <si>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</si>
  <si>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</si>
  <si>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</si>
  <si>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</si>
  <si>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</si>
  <si>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</si>
  <si>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</si>
  <si>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</si>
  <si>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</si>
  <si>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</si>
  <si>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</si>
  <si>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</si>
  <si>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</si>
  <si>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</si>
  <si>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</si>
  <si>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</si>
  <si>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</si>
  <si>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</si>
  <si>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</si>
  <si>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</si>
  <si>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</si>
  <si>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</si>
  <si>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</si>
  <si>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</si>
  <si>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</si>
  <si>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</si>
  <si>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</si>
  <si>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</si>
  <si>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</si>
  <si>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</si>
  <si>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</si>
  <si>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</si>
  <si>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</si>
  <si>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</si>
  <si>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</si>
  <si>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</si>
  <si>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</si>
  <si>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</si>
  <si>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</si>
  <si>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</si>
  <si>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</si>
  <si>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</si>
  <si>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</si>
  <si>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</si>
  <si>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</si>
  <si>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</si>
  <si>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</si>
  <si>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</si>
  <si>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</si>
  <si>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</si>
  <si>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</si>
  <si>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</si>
  <si>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</si>
  <si>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</si>
  <si>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</si>
  <si>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</si>
  <si>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</si>
  <si>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</si>
  <si>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</si>
  <si>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</si>
  <si>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</si>
  <si>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</si>
  <si>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</si>
  <si>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</si>
  <si>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</si>
  <si>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</si>
  <si>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</si>
  <si>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</si>
  <si>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</si>
  <si>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</si>
  <si>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</si>
  <si>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</si>
  <si>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</si>
  <si>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</si>
  <si>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</si>
  <si>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</si>
  <si>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</si>
  <si>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</si>
  <si>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</si>
  <si>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</si>
  <si>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</si>
  <si>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</si>
  <si>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</si>
  <si>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</si>
  <si>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</si>
  <si>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</si>
  <si>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</si>
  <si>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</si>
  <si>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</si>
  <si>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</si>
  <si>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</si>
  <si>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</si>
  <si>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</si>
  <si>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</si>
  <si>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</si>
  <si>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</si>
  <si>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</si>
  <si>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</si>
  <si>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</si>
  <si>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</si>
  <si>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</si>
  <si>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</si>
  <si>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</si>
  <si>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</si>
  <si>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</si>
  <si>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</si>
  <si>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</si>
  <si>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</si>
  <si>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</si>
  <si>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</si>
  <si>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</si>
  <si>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</si>
  <si>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</si>
  <si>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</si>
  <si>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</si>
  <si>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</si>
  <si>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</si>
  <si>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</si>
  <si>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</si>
  <si>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</si>
  <si>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</si>
  <si>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</si>
  <si>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</si>
  <si>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</si>
  <si>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</si>
  <si>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</si>
  <si>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</si>
  <si>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</si>
  <si>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</si>
  <si>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</si>
  <si>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</si>
  <si>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</si>
  <si>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</si>
  <si>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</si>
  <si>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</si>
  <si>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</si>
  <si>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</si>
  <si>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</si>
  <si>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</si>
  <si>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</si>
  <si>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</si>
  <si>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</si>
  <si>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</si>
  <si>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</si>
  <si>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</si>
  <si>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</si>
  <si>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</si>
  <si>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</si>
  <si>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</si>
  <si>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</si>
  <si>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</si>
  <si>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</si>
  <si>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</si>
  <si>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</si>
  <si>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</si>
  <si>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</si>
  <si>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</si>
  <si>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</si>
  <si>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</si>
  <si>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</si>
  <si>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</si>
  <si>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</si>
  <si>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</si>
  <si>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</si>
  <si>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</si>
  <si>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</si>
  <si>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</si>
  <si>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</si>
  <si>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</si>
  <si>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</si>
  <si>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</si>
  <si>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</si>
  <si>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</si>
  <si>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</si>
  <si>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</si>
  <si>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</si>
  <si>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</si>
  <si>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</si>
  <si>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</si>
  <si>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</si>
  <si>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</si>
  <si>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</si>
  <si>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</si>
  <si>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</si>
  <si>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</si>
  <si>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</si>
  <si>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</si>
  <si>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</si>
  <si>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</si>
  <si>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</si>
  <si>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</si>
  <si>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</si>
  <si>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</si>
  <si>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</si>
  <si>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</si>
  <si>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</si>
  <si>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</si>
  <si>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</si>
  <si>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</si>
  <si>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</si>
  <si>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</si>
  <si>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</si>
  <si>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</si>
  <si>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</si>
  <si>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</si>
  <si>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</si>
  <si>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</si>
  <si>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</si>
  <si>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</si>
  <si>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</si>
  <si>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</si>
  <si>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</si>
  <si>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</si>
  <si>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</si>
  <si>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</si>
  <si>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</si>
  <si>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</si>
  <si>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</si>
  <si>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</si>
  <si>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</si>
  <si>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</si>
  <si>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</si>
  <si>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</si>
  <si>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</si>
  <si>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</si>
  <si>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</si>
  <si>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</si>
  <si>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</si>
  <si>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</si>
  <si>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</si>
  <si>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</si>
  <si>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</si>
  <si>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</si>
  <si>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</si>
  <si>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</si>
  <si>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</si>
  <si>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</si>
  <si>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</si>
  <si>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</si>
  <si>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</si>
  <si>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</si>
  <si>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</si>
  <si>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</si>
  <si>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</si>
  <si>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</si>
  <si>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</si>
  <si>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</si>
  <si>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</si>
  <si>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</si>
  <si>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</si>
  <si>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</si>
  <si>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</si>
  <si>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</si>
  <si>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</si>
  <si>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</si>
  <si>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</si>
  <si>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</si>
  <si>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</si>
  <si>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</si>
  <si>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</si>
  <si>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</si>
  <si>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</si>
  <si>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</si>
  <si>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</si>
  <si>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</si>
  <si>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</si>
  <si>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</si>
  <si>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</si>
  <si>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</si>
  <si>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</si>
  <si>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</si>
  <si>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</si>
  <si>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</si>
  <si>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</si>
  <si>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</si>
  <si>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</si>
  <si>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</si>
  <si>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</si>
  <si>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</si>
  <si>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</si>
  <si>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</si>
  <si>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</si>
  <si>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</si>
  <si>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</si>
  <si>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</si>
  <si>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</si>
  <si>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</si>
  <si>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</si>
  <si>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</si>
  <si>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</si>
  <si>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</si>
  <si>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</si>
  <si>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</si>
  <si>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</si>
  <si>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</si>
  <si>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</si>
  <si>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</si>
  <si>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</si>
  <si>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</si>
  <si>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</si>
  <si>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</si>
  <si>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</si>
  <si>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</si>
  <si>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</si>
  <si>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</si>
  <si>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</si>
  <si>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</si>
  <si>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</si>
  <si>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</si>
  <si>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</si>
  <si>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</si>
  <si>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</si>
  <si>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</si>
  <si>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</si>
  <si>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</si>
  <si>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</si>
  <si>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</si>
  <si>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</si>
  <si>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</si>
  <si>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</si>
  <si>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</si>
  <si>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</si>
  <si>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</si>
  <si>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</si>
  <si>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</si>
  <si>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</si>
  <si>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</si>
  <si>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</si>
  <si>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</si>
  <si>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</si>
  <si>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</si>
  <si>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</si>
  <si>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</si>
  <si>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</si>
  <si>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</si>
  <si>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</si>
  <si>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</si>
  <si>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</si>
  <si>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</si>
  <si>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</si>
  <si>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</si>
  <si>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</si>
  <si>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</si>
  <si>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</si>
  <si>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</si>
  <si>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</si>
  <si>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</si>
  <si>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</si>
  <si>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</si>
  <si>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</si>
  <si>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</si>
  <si>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</si>
  <si>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</si>
  <si>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</si>
  <si>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</si>
  <si>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</si>
  <si>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</si>
  <si>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</si>
  <si>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</si>
  <si>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</si>
  <si>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</si>
  <si>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</si>
  <si>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</si>
  <si>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</si>
  <si>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</si>
  <si>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</si>
  <si>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</si>
  <si>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</si>
  <si>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</si>
  <si>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</si>
  <si>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</si>
  <si>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</si>
  <si>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</si>
  <si>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</si>
  <si>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</si>
  <si>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</si>
  <si>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</si>
  <si>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</si>
  <si>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</si>
  <si>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</si>
  <si>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</si>
  <si>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</si>
  <si>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</si>
  <si>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</si>
  <si>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</si>
  <si>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</si>
  <si>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</si>
  <si>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</si>
  <si>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</si>
  <si>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</si>
  <si>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</si>
  <si>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</si>
  <si>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</si>
  <si>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</si>
  <si>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</si>
  <si>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</si>
  <si>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</si>
  <si>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</si>
  <si>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</si>
  <si>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</si>
  <si>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</si>
  <si>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</si>
  <si>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</si>
  <si>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</si>
  <si>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</si>
  <si>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</si>
  <si>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</si>
  <si>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</si>
  <si>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</si>
  <si>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</si>
  <si>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</si>
  <si>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</si>
  <si>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</si>
  <si>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</si>
  <si>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</si>
  <si>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</si>
  <si>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</si>
  <si>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</si>
  <si>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</si>
  <si>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</si>
  <si>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</si>
  <si>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</si>
  <si>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</si>
  <si>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</si>
  <si>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</si>
  <si>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</si>
  <si>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</si>
  <si>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</si>
  <si>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</si>
  <si>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</si>
  <si>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</si>
  <si>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</si>
  <si>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</si>
  <si>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</si>
  <si>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</si>
  <si>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</si>
  <si>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</si>
  <si>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</si>
  <si>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</si>
  <si>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</si>
  <si>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</si>
  <si>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</si>
  <si>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</si>
  <si>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</si>
  <si>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</si>
  <si>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</si>
  <si>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</si>
  <si>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</si>
  <si>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</si>
  <si>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</si>
  <si>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</si>
  <si>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</si>
  <si>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</si>
  <si>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</si>
  <si>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</si>
  <si>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</si>
  <si>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</si>
  <si>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</si>
  <si>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</si>
  <si>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</si>
  <si>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</si>
  <si>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</si>
  <si>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</si>
  <si>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</si>
  <si>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</si>
  <si>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</si>
  <si>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</si>
  <si>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</si>
  <si>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</si>
  <si>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</si>
  <si>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</si>
  <si>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</si>
  <si>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</si>
  <si>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</si>
  <si>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</si>
  <si>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</si>
  <si>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</si>
  <si>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</si>
  <si>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</si>
  <si>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</si>
  <si>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</si>
  <si>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</si>
  <si>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</si>
  <si>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</si>
  <si>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</si>
  <si>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</si>
  <si>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</si>
  <si>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</si>
  <si>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</si>
  <si>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</si>
  <si>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</si>
  <si>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</si>
  <si>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</si>
  <si>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</si>
  <si>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</si>
  <si>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</si>
  <si>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</si>
  <si>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</si>
  <si>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</si>
  <si>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</si>
  <si>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</si>
  <si>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</si>
  <si>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</si>
  <si>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</si>
  <si>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</si>
  <si>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</si>
  <si>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</si>
  <si>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</si>
  <si>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</si>
  <si>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</si>
  <si>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</si>
  <si>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</si>
  <si>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</si>
  <si>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</si>
  <si>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</si>
  <si>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</si>
  <si>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</si>
  <si>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</si>
  <si>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</si>
  <si>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</si>
  <si>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</si>
  <si>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</si>
  <si>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</si>
  <si>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</si>
  <si>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</si>
  <si>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</si>
  <si>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</si>
  <si>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</si>
  <si>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</si>
  <si>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</si>
  <si>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</si>
  <si>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</si>
  <si>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</si>
  <si>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</si>
  <si>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</si>
  <si>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</si>
  <si>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</si>
  <si>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</si>
  <si>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</si>
  <si>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</si>
  <si>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</si>
  <si>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</si>
  <si>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</si>
  <si>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</si>
  <si>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</si>
  <si>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</si>
  <si>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</si>
  <si>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</si>
  <si>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</si>
  <si>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</si>
  <si>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</si>
  <si>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</si>
  <si>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</si>
  <si>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</si>
  <si>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</si>
  <si>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</si>
  <si>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</si>
  <si>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</si>
  <si>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</si>
  <si>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</si>
  <si>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</si>
  <si>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</si>
  <si>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</si>
  <si>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</si>
  <si>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</si>
  <si>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</si>
  <si>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</si>
  <si>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</si>
  <si>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</si>
  <si>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</si>
  <si>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</si>
  <si>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</si>
  <si>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</si>
  <si>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</si>
  <si>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</si>
  <si>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</si>
  <si>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</si>
  <si>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</si>
  <si>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</si>
  <si>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</si>
  <si>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</si>
  <si>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</si>
  <si>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</si>
  <si>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</si>
  <si>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</si>
  <si>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</si>
  <si>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</si>
  <si>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</si>
  <si>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</si>
  <si>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</si>
  <si>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</si>
  <si>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</si>
  <si>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</si>
  <si>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</si>
  <si>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</si>
  <si>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</si>
  <si>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</si>
  <si>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</si>
  <si>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</si>
  <si>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</si>
  <si>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</si>
  <si>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</si>
  <si>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</si>
  <si>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</si>
  <si>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</si>
  <si>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</si>
  <si>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</si>
  <si>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</si>
  <si>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</si>
  <si>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</si>
  <si>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</si>
  <si>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</si>
  <si>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</si>
  <si>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</si>
  <si>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</si>
  <si>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</si>
  <si>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</si>
  <si>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</si>
  <si>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</si>
  <si>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</si>
  <si>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</si>
  <si>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</si>
  <si>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</si>
  <si>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</si>
  <si>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</si>
  <si>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</si>
  <si>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</si>
  <si>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</si>
  <si>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</si>
  <si>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</si>
  <si>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</si>
  <si>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</si>
  <si>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</si>
  <si>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</si>
  <si>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</si>
  <si>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</si>
  <si>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</si>
  <si>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</si>
  <si>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</si>
  <si>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</si>
  <si>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</si>
  <si>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</si>
  <si>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</si>
  <si>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</si>
  <si>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</si>
  <si>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</si>
  <si>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</si>
  <si>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</si>
  <si>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</si>
  <si>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</si>
  <si>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</si>
  <si>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</si>
  <si>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</si>
  <si>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</si>
  <si>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</si>
  <si>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</si>
  <si>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</si>
  <si>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</si>
  <si>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</si>
  <si>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</si>
  <si>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</si>
  <si>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</si>
  <si>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</si>
  <si>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</si>
  <si>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</si>
  <si>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</si>
  <si>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</si>
  <si>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</si>
  <si>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</si>
  <si>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</si>
  <si>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</si>
  <si>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</si>
  <si>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</si>
  <si>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</si>
  <si>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</si>
  <si>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</si>
  <si>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</si>
  <si>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</si>
  <si>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</si>
  <si>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</si>
  <si>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</si>
  <si>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</si>
  <si>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</si>
  <si>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</si>
  <si>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</si>
  <si>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</si>
  <si>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</si>
  <si>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</si>
  <si>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</si>
  <si>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</si>
  <si>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</si>
  <si>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</si>
  <si>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</si>
  <si>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</si>
  <si>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</si>
  <si>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</si>
  <si>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</si>
  <si>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</si>
  <si>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</si>
  <si>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</si>
  <si>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</si>
  <si>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</si>
  <si>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</si>
  <si>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</si>
  <si>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</si>
  <si>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</si>
  <si>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</si>
  <si>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</si>
  <si>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</si>
  <si>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</si>
  <si>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</si>
  <si>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</si>
  <si>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</si>
  <si>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</si>
  <si>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</si>
  <si>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</si>
  <si>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</si>
  <si>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</si>
  <si>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</si>
  <si>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</si>
  <si>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</si>
  <si>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</si>
  <si>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</si>
  <si>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</si>
  <si>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</si>
  <si>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</si>
  <si>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</si>
  <si>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</si>
  <si>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</si>
  <si>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</si>
  <si>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</si>
  <si>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</si>
  <si>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</si>
  <si>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</si>
  <si>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</si>
  <si>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</si>
  <si>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</si>
  <si>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</si>
  <si>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</si>
  <si>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</si>
  <si>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</si>
  <si>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</si>
  <si>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</si>
  <si>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</si>
  <si>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</si>
  <si>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</si>
  <si>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</si>
  <si>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</si>
  <si>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</si>
  <si>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</si>
  <si>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</si>
  <si>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</si>
  <si>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</si>
  <si>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</si>
  <si>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</si>
  <si>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</si>
  <si>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</si>
  <si>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</si>
  <si>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</si>
  <si>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</si>
  <si>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</si>
  <si>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</si>
  <si>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</si>
  <si>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</si>
  <si>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</si>
  <si>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</si>
  <si>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</si>
  <si>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</si>
  <si>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</si>
  <si>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</si>
  <si>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</si>
  <si>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</si>
  <si>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</si>
  <si>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</si>
  <si>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</si>
  <si>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</si>
  <si>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</si>
  <si>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</si>
  <si>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</si>
  <si>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</si>
  <si>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</si>
  <si>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</si>
  <si>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</si>
  <si>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</si>
  <si>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</si>
  <si>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</si>
  <si>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</si>
  <si>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</si>
  <si>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</si>
  <si>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</si>
  <si>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</si>
  <si>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</si>
  <si>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</si>
  <si>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</si>
  <si>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</si>
  <si>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</si>
  <si>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</si>
  <si>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</si>
  <si>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</si>
  <si>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</si>
  <si>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</si>
  <si>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</si>
  <si>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</si>
  <si>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</si>
  <si>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</si>
  <si>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</si>
  <si>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</si>
  <si>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</si>
  <si>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</si>
  <si>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</si>
  <si>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</si>
  <si>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</si>
  <si>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</si>
  <si>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</si>
  <si>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</si>
  <si>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</si>
  <si>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</si>
  <si>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</si>
  <si>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</si>
  <si>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</si>
  <si>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</si>
  <si>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</si>
  <si>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</si>
  <si>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</si>
  <si>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</si>
  <si>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</si>
  <si>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</si>
  <si>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</si>
  <si>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</si>
  <si>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</si>
  <si>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</si>
  <si>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</si>
  <si>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</si>
  <si>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</si>
  <si>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</si>
  <si>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</si>
  <si>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</si>
  <si>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</si>
  <si>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</si>
  <si>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</si>
  <si>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</si>
  <si>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</si>
  <si>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</si>
  <si>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</si>
  <si>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</si>
  <si>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</si>
  <si>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</si>
  <si>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</si>
  <si>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</si>
  <si>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</si>
  <si>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</si>
  <si>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</si>
  <si>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</si>
  <si>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</si>
  <si>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</si>
  <si>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</si>
  <si>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</si>
  <si>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</si>
  <si>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</si>
  <si>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</si>
  <si>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</si>
  <si>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</si>
  <si>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</si>
  <si>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</si>
  <si>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</si>
  <si>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</si>
  <si>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</si>
  <si>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</si>
  <si>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</si>
  <si>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</si>
  <si>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</si>
  <si>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</si>
  <si>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</si>
  <si>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</si>
  <si>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</si>
  <si>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</si>
  <si>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</si>
  <si>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</si>
  <si>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</si>
  <si>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</si>
  <si>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</si>
  <si>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</si>
  <si>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</si>
  <si>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</si>
  <si>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</si>
  <si>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</si>
  <si>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</si>
  <si>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</si>
  <si>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</si>
  <si>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</si>
  <si>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</si>
  <si>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</si>
  <si>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</si>
  <si>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</si>
  <si>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</si>
  <si>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</si>
  <si>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</si>
  <si>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</si>
  <si>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</si>
  <si>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</si>
  <si>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</si>
  <si>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</si>
  <si>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</si>
  <si>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</si>
  <si>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</si>
  <si>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</si>
  <si>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</si>
  <si>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</si>
  <si>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</si>
  <si>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</si>
  <si>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</si>
  <si>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</si>
  <si>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</si>
  <si>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</si>
  <si>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</si>
  <si>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</si>
  <si>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</si>
  <si>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</si>
  <si>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</si>
  <si>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</si>
  <si>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</si>
  <si>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</si>
  <si>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</si>
  <si>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</si>
  <si>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</si>
  <si>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</si>
  <si>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</si>
  <si>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</si>
  <si>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</si>
  <si>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</si>
  <si>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</si>
  <si>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</si>
  <si>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</si>
  <si>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</si>
  <si>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</si>
  <si>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</si>
  <si>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</si>
  <si>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</si>
  <si>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</si>
  <si>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</si>
  <si>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</si>
  <si>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</si>
  <si>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</si>
  <si>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</si>
  <si>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</si>
  <si>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</si>
  <si>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</si>
  <si>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</si>
  <si>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</si>
  <si>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</si>
  <si>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</si>
  <si>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</si>
  <si>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</si>
  <si>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</si>
  <si>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</si>
  <si>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</si>
  <si>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</si>
  <si>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</si>
  <si>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</si>
  <si>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</si>
  <si>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</si>
  <si>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</si>
  <si>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</si>
  <si>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</si>
  <si>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</si>
  <si>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</si>
  <si>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</si>
  <si>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</si>
  <si>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</si>
  <si>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</si>
  <si>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</si>
  <si>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</si>
  <si>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</si>
  <si>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</si>
  <si>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</si>
  <si>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</si>
  <si>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</si>
  <si>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</si>
  <si>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</si>
  <si>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</si>
  <si>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</si>
  <si>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</si>
  <si>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</si>
  <si>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</si>
  <si>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</si>
  <si>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</si>
  <si>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</si>
  <si>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</si>
  <si>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</si>
  <si>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</si>
  <si>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</si>
  <si>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</si>
  <si>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</si>
  <si>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</si>
  <si>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</si>
  <si>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</si>
  <si>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</si>
  <si>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</si>
  <si>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</si>
  <si>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</si>
  <si>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</si>
  <si>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</si>
  <si>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</si>
  <si>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</si>
  <si>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</si>
  <si>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</si>
  <si>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</si>
  <si>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</si>
  <si>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</si>
  <si>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</si>
  <si>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</si>
  <si>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</si>
  <si>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</si>
  <si>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</si>
  <si>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</si>
  <si>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</si>
  <si>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</si>
  <si>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</si>
  <si>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</si>
  <si>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</si>
  <si>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</si>
  <si>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</si>
  <si>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</si>
  <si>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</si>
  <si>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</si>
  <si>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</si>
  <si>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</si>
  <si>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</si>
  <si>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</si>
  <si>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</si>
  <si>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</si>
  <si>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</si>
  <si>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</si>
  <si>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</si>
  <si>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</si>
  <si>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</si>
  <si>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</si>
  <si>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</si>
  <si>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</si>
  <si>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</si>
  <si>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</si>
  <si>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</si>
  <si>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</si>
  <si>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</si>
  <si>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</si>
  <si>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</si>
  <si>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</si>
  <si>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</si>
  <si>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</si>
  <si>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</si>
  <si>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</si>
  <si>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</si>
  <si>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</si>
  <si>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</si>
  <si>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</si>
  <si>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</si>
  <si>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</si>
  <si>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</si>
  <si>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</si>
  <si>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</si>
  <si>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</si>
  <si>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</si>
  <si>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</si>
  <si>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</si>
  <si>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</si>
  <si>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</si>
  <si>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</si>
  <si>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</si>
  <si>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</si>
  <si>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</si>
  <si>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</si>
  <si>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</si>
  <si>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</si>
  <si>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</si>
  <si>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</si>
  <si>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</si>
  <si>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</si>
  <si>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</si>
  <si>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</si>
  <si>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</si>
  <si>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</si>
  <si>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</si>
  <si>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</si>
  <si>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</si>
  <si>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</si>
  <si>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</si>
  <si>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</si>
  <si>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</si>
  <si>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</si>
  <si>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</si>
  <si>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</si>
  <si>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</si>
  <si>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</si>
  <si>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</si>
  <si>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</si>
  <si>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</si>
  <si>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</si>
  <si>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</si>
  <si>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</si>
  <si>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</si>
  <si>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</si>
  <si>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</si>
  <si>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</si>
  <si>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</si>
  <si>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</si>
  <si>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</si>
  <si>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</si>
  <si>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</si>
  <si>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</si>
  <si>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</si>
  <si>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</si>
  <si>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</si>
  <si>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</si>
  <si>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</si>
  <si>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</si>
  <si>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</si>
  <si>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</si>
  <si>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</si>
  <si>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</si>
  <si>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</si>
  <si>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</si>
  <si>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</si>
  <si>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</si>
  <si>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</si>
  <si>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</si>
  <si>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</si>
  <si>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</si>
  <si>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</si>
  <si>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</si>
  <si>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</si>
  <si>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</si>
  <si>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</si>
  <si>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</si>
  <si>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</si>
  <si>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</si>
  <si>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</si>
  <si>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</si>
  <si>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</si>
  <si>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</si>
  <si>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</si>
  <si>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</si>
  <si>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</si>
  <si>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</si>
  <si>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</si>
  <si>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</si>
  <si>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</si>
  <si>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</si>
  <si>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</si>
  <si>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</si>
  <si>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</si>
  <si>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</si>
  <si>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</si>
  <si>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</si>
  <si>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</si>
  <si>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</si>
  <si>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</si>
  <si>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</si>
  <si>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</si>
  <si>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</si>
  <si>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</si>
  <si>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</si>
  <si>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</si>
  <si>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</si>
  <si>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</si>
  <si>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</si>
  <si>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</si>
  <si>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</si>
  <si>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</si>
  <si>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</si>
  <si>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</si>
  <si>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</si>
  <si>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</si>
  <si>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</si>
  <si>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</si>
  <si>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</si>
  <si>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</si>
  <si>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</si>
  <si>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</si>
  <si>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</si>
  <si>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</si>
  <si>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</si>
  <si>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</si>
  <si>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</si>
  <si>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</si>
  <si>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</si>
  <si>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</si>
  <si>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</si>
  <si>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</si>
  <si>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</si>
  <si>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</si>
  <si>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</si>
  <si>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</si>
  <si>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</si>
  <si>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</si>
  <si>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</si>
  <si>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</si>
  <si>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</si>
  <si>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</si>
  <si>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</si>
  <si>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</si>
  <si>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</si>
  <si>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</si>
  <si>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</si>
  <si>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</si>
  <si>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</si>
  <si>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</si>
  <si>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</si>
  <si>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</si>
  <si>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</si>
  <si>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</si>
  <si>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</si>
  <si>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</si>
  <si>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</si>
  <si>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</si>
  <si>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</si>
  <si>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</si>
  <si>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</si>
  <si>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</si>
  <si>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</si>
  <si>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</si>
  <si>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</si>
  <si>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</si>
  <si>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</si>
  <si>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</si>
  <si>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</si>
  <si>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</si>
  <si>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</si>
  <si>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</si>
  <si>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</si>
  <si>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</si>
  <si>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</si>
  <si>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</si>
  <si>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</si>
  <si>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</si>
  <si>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</si>
  <si>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</si>
  <si>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</si>
  <si>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</si>
  <si>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</si>
  <si>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</si>
  <si>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</si>
  <si>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</si>
  <si>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</si>
  <si>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</si>
  <si>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</si>
  <si>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</si>
  <si>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</si>
  <si>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</si>
  <si>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</si>
  <si>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</si>
  <si>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</si>
  <si>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</si>
  <si>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</si>
  <si>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</si>
  <si>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</si>
  <si>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</si>
  <si>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</si>
  <si>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</si>
  <si>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</si>
  <si>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</si>
  <si>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</si>
  <si>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</si>
  <si>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</si>
  <si>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</si>
  <si>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</si>
  <si>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</si>
  <si>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</si>
  <si>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</si>
  <si>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</si>
  <si>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</si>
  <si>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</si>
  <si>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</si>
  <si>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</si>
  <si>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</si>
  <si>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</si>
  <si>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</si>
  <si>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</si>
  <si>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</si>
  <si>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</si>
  <si>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</si>
  <si>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</si>
  <si>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</si>
  <si>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</si>
  <si>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</si>
  <si>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</si>
  <si>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</si>
  <si>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</si>
  <si>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</si>
  <si>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</si>
  <si>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</si>
  <si>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</si>
  <si>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</si>
  <si>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</si>
  <si>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</si>
  <si>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</si>
  <si>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</si>
  <si>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</si>
  <si>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</si>
  <si>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</si>
  <si>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</si>
  <si>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</si>
  <si>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</si>
  <si>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</si>
  <si>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</si>
  <si>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</si>
  <si>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</si>
  <si>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</si>
  <si>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</si>
  <si>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</si>
  <si>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</si>
  <si>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</si>
  <si>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</si>
  <si>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</si>
  <si>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</si>
  <si>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</si>
  <si>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</si>
  <si>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</si>
  <si>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</si>
  <si>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</si>
  <si>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</si>
  <si>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</si>
  <si>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</si>
  <si>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</si>
  <si>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</si>
  <si>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</si>
  <si>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</si>
  <si>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</si>
  <si>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</si>
  <si>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</si>
  <si>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</si>
  <si>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</si>
  <si>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</si>
  <si>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</si>
  <si>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</si>
  <si>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</si>
  <si>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</si>
  <si>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</si>
  <si>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</si>
  <si>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</si>
  <si>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</si>
  <si>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</si>
  <si>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</si>
  <si>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</si>
  <si>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</si>
  <si>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</si>
  <si>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</si>
  <si>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</si>
  <si>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</si>
  <si>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</si>
  <si>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</si>
  <si>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</si>
  <si>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</si>
  <si>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</si>
  <si>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</si>
  <si>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</si>
  <si>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</si>
  <si>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</si>
  <si>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</si>
  <si>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</si>
  <si>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</si>
  <si>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</si>
  <si>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</si>
  <si>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</si>
  <si>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</si>
  <si>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</si>
  <si>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</si>
  <si>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</si>
  <si>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</si>
  <si>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</si>
  <si>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</si>
  <si>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</si>
  <si>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</si>
  <si>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</si>
  <si>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</si>
  <si>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</si>
  <si>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</si>
  <si>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</si>
  <si>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</si>
  <si>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</si>
  <si>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</si>
  <si>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</si>
  <si>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</si>
  <si>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</si>
  <si>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</si>
  <si>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</si>
  <si>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</si>
  <si>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</si>
  <si>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</si>
  <si>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</si>
  <si>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</si>
  <si>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</si>
  <si>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</si>
  <si>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</si>
  <si>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</si>
  <si>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</si>
  <si>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</si>
  <si>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</si>
  <si>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</si>
  <si>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</si>
  <si>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</si>
  <si>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</si>
  <si>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</si>
  <si>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</si>
  <si>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</si>
  <si>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</si>
  <si>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</si>
  <si>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</si>
  <si>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</si>
  <si>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</si>
  <si>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</si>
  <si>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</si>
  <si>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</si>
  <si>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</si>
  <si>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</si>
  <si>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</si>
  <si>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</si>
  <si>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</si>
  <si>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</si>
  <si>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</si>
  <si>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</si>
  <si>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</si>
  <si>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</si>
  <si>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</si>
  <si>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</si>
  <si>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</si>
  <si>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</si>
  <si>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</si>
  <si>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</si>
  <si>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</si>
  <si>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</si>
  <si>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</si>
  <si>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</si>
  <si>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</si>
  <si>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</si>
  <si>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</si>
  <si>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</si>
  <si>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</si>
  <si>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</si>
  <si>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</si>
  <si>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</si>
  <si>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</si>
  <si>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</si>
  <si>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</si>
  <si>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</si>
  <si>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</si>
  <si>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</si>
  <si>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</si>
  <si>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</si>
  <si>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</si>
  <si>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</si>
  <si>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</si>
  <si>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</si>
  <si>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</si>
  <si>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</si>
  <si>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</si>
  <si>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</si>
  <si>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</si>
  <si>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</si>
  <si>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</si>
  <si>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</si>
  <si>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</si>
  <si>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</si>
  <si>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</si>
  <si>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</si>
  <si>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</si>
  <si>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</si>
  <si>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</si>
  <si>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</si>
  <si>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</si>
  <si>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</si>
  <si>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</si>
  <si>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</si>
  <si>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</si>
  <si>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</si>
  <si>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</si>
  <si>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</si>
  <si>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</si>
  <si>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</si>
  <si>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</si>
  <si>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</si>
  <si>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</si>
  <si>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</si>
  <si>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</si>
  <si>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</si>
  <si>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</si>
  <si>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</si>
  <si>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</si>
  <si>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</si>
  <si>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</si>
  <si>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</si>
  <si>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</si>
  <si>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</si>
  <si>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</si>
  <si>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</si>
  <si>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</si>
  <si>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</si>
  <si>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</si>
  <si>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</si>
  <si>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</si>
  <si>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</si>
  <si>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</si>
  <si>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</si>
  <si>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</si>
  <si>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</si>
  <si>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</si>
  <si>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</si>
  <si>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</si>
  <si>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</si>
  <si>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</si>
  <si>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</si>
  <si>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</si>
  <si>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</si>
  <si>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</si>
  <si>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</si>
  <si>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</si>
  <si>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</si>
  <si>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</si>
  <si>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</si>
  <si>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</si>
  <si>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</si>
  <si>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</si>
  <si>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</si>
  <si>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</si>
  <si>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</si>
  <si>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</si>
  <si>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</si>
  <si>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</si>
  <si>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</si>
  <si>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</si>
  <si>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</si>
  <si>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</si>
  <si>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</si>
  <si>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</si>
  <si>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</si>
  <si>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</si>
  <si>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</si>
  <si>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</si>
  <si>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</si>
  <si>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</si>
  <si>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</si>
  <si>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</si>
  <si>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</si>
  <si>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</si>
  <si>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</si>
  <si>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</si>
  <si>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</si>
  <si>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</si>
  <si>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</si>
  <si>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</si>
  <si>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</si>
  <si>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</si>
  <si>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</si>
  <si>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</si>
  <si>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</si>
  <si>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</si>
  <si>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</si>
  <si>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</si>
  <si>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</si>
  <si>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</si>
  <si>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</si>
  <si>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</si>
  <si>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</si>
  <si>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</si>
  <si>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</si>
  <si>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</si>
  <si>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</si>
  <si>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</si>
  <si>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</si>
  <si>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</si>
  <si>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</si>
  <si>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</si>
  <si>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</si>
  <si>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</si>
  <si>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</si>
  <si>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</si>
  <si>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</si>
  <si>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</si>
  <si>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</si>
  <si>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</si>
  <si>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</si>
  <si>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</si>
  <si>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</si>
  <si>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</si>
  <si>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</si>
  <si>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</si>
  <si>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</si>
  <si>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</si>
  <si>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</si>
  <si>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</si>
  <si>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</si>
  <si>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</si>
  <si>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</si>
  <si>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</si>
  <si>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</si>
  <si>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</si>
  <si>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</si>
  <si>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</si>
  <si>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</si>
  <si>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</si>
  <si>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</si>
  <si>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</si>
  <si>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</si>
  <si>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</si>
  <si>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</si>
  <si>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</si>
  <si>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</si>
  <si>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</si>
  <si>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</si>
  <si>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</si>
  <si>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</si>
  <si>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</si>
  <si>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</si>
  <si>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</si>
  <si>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</si>
  <si>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</si>
  <si>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</si>
  <si>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</si>
  <si>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</si>
  <si>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</si>
  <si>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</si>
  <si>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</si>
  <si>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</si>
  <si>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</si>
  <si>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</si>
  <si>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</si>
  <si>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</si>
  <si>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</si>
  <si>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</si>
  <si>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</si>
  <si>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</si>
  <si>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</si>
  <si>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</si>
  <si>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</si>
  <si>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</si>
  <si>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</si>
  <si>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</si>
  <si>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</si>
  <si>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</si>
  <si>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</si>
  <si>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</si>
  <si>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</si>
  <si>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</si>
  <si>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</si>
  <si>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</si>
  <si>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</si>
  <si>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</si>
  <si>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</si>
  <si>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</si>
  <si>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</si>
  <si>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</si>
  <si>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</si>
  <si>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</si>
  <si>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</si>
  <si>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</si>
  <si>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</si>
  <si>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</si>
  <si>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</si>
  <si>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</si>
  <si>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</si>
  <si>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</si>
  <si>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</si>
  <si>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</si>
  <si>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</si>
  <si>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</si>
  <si>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</si>
  <si>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</si>
  <si>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</si>
  <si>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</si>
  <si>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</si>
  <si>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</si>
  <si>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</si>
  <si>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</si>
  <si>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</si>
  <si>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</si>
  <si>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</si>
  <si>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</si>
  <si>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</si>
  <si>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</si>
  <si>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</si>
  <si>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</si>
  <si>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</si>
  <si>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</si>
  <si>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</si>
  <si>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</si>
  <si>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</si>
  <si>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</si>
  <si>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</si>
  <si>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</si>
  <si>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</si>
  <si>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</si>
  <si>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</si>
  <si>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</si>
  <si>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</si>
  <si>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</si>
  <si>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</si>
  <si>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</si>
  <si>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</si>
  <si>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</si>
  <si>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</si>
  <si>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</si>
  <si>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</si>
  <si>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</si>
  <si>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</si>
  <si>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</si>
  <si>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</si>
  <si>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</si>
  <si>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</si>
  <si>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</si>
  <si>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</si>
  <si>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</si>
  <si>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</si>
  <si>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</si>
  <si>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</si>
  <si>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</si>
  <si>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</si>
  <si>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</si>
  <si>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</si>
  <si>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</si>
  <si>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</si>
  <si>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</si>
  <si>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</si>
  <si>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</si>
  <si>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</si>
  <si>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</si>
  <si>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</si>
  <si>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</si>
  <si>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</si>
  <si>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</si>
  <si>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</si>
  <si>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</si>
  <si>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</si>
  <si>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</si>
  <si>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</si>
  <si>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</si>
  <si>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</si>
  <si>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</si>
  <si>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</si>
  <si>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</si>
  <si>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</si>
  <si>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</si>
  <si>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</si>
  <si>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</si>
  <si>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</si>
  <si>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</si>
  <si>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</si>
  <si>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</si>
  <si>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</si>
  <si>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</si>
  <si>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</si>
  <si>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</si>
  <si>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</si>
  <si>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</si>
  <si>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</si>
  <si>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</si>
  <si>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</si>
  <si>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</si>
  <si>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</si>
  <si>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</si>
  <si>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</si>
  <si>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</si>
  <si>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</si>
  <si>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</si>
  <si>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</si>
  <si>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</si>
  <si>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</si>
  <si>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</si>
  <si>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</si>
  <si>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</si>
  <si>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</si>
  <si>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</si>
  <si>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</si>
  <si>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</si>
  <si>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</si>
  <si>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</si>
  <si>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</si>
  <si>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</si>
  <si>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</si>
  <si>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</si>
  <si>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</si>
  <si>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</si>
  <si>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</si>
  <si>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</si>
  <si>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</si>
  <si>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</si>
  <si>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</si>
  <si>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</si>
  <si>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</si>
  <si>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</si>
  <si>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</si>
  <si>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</si>
  <si>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</si>
  <si>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</si>
  <si>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</si>
  <si>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</si>
  <si>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</si>
  <si>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</si>
  <si>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</si>
  <si>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</si>
  <si>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</si>
  <si>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</si>
  <si>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</si>
  <si>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</si>
  <si>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</si>
  <si>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</si>
  <si>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</si>
  <si>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</si>
  <si>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</si>
  <si>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</si>
  <si>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</si>
  <si>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</si>
  <si>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</si>
  <si>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</si>
  <si>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</si>
  <si>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</si>
  <si>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</si>
  <si>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</si>
  <si>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</si>
  <si>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</si>
  <si>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</si>
  <si>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</si>
  <si>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</si>
  <si>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</si>
  <si>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</si>
  <si>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</si>
  <si>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</si>
  <si>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</si>
  <si>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</si>
  <si>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</si>
  <si>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</si>
  <si>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</si>
  <si>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</si>
  <si>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</si>
  <si>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</si>
  <si>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</si>
  <si>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</si>
  <si>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</si>
  <si>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</si>
  <si>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</si>
  <si>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</si>
  <si>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</si>
  <si>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</si>
  <si>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</si>
  <si>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</si>
  <si>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</si>
  <si>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</si>
  <si>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</si>
  <si>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</si>
  <si>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</si>
  <si>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</si>
  <si>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</si>
  <si>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</si>
  <si>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</si>
  <si>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</si>
  <si>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</si>
  <si>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</si>
  <si>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</si>
  <si>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</si>
  <si>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</si>
  <si>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</si>
  <si>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</si>
  <si>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</si>
  <si>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</si>
  <si>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</si>
  <si>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</si>
  <si>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</si>
  <si>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</si>
  <si>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</si>
  <si>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</si>
  <si>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</si>
  <si>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</si>
  <si>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</si>
  <si>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</si>
  <si>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</si>
  <si>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</si>
  <si>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</si>
  <si>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</si>
  <si>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</si>
  <si>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</si>
  <si>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</si>
  <si>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</si>
  <si>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</si>
  <si>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</si>
  <si>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</si>
  <si>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</si>
  <si>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</si>
  <si>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</si>
  <si>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</si>
  <si>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</si>
  <si>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</si>
  <si>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</si>
  <si>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</si>
  <si>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</si>
  <si>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</si>
  <si>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</si>
  <si>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</si>
  <si>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</si>
  <si>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</si>
  <si>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</si>
  <si>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</si>
  <si>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</si>
  <si>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</si>
  <si>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</si>
  <si>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</si>
  <si>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</si>
  <si>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</si>
  <si>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</si>
  <si>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</si>
  <si>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</si>
  <si>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</si>
  <si>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</si>
  <si>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</si>
  <si>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</si>
  <si>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</si>
  <si>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</si>
  <si>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</si>
  <si>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</si>
  <si>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</si>
  <si>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</si>
  <si>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</si>
  <si>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</si>
  <si>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</si>
  <si>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</si>
  <si>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</si>
  <si>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</si>
  <si>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</si>
  <si>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</si>
  <si>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</si>
  <si>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</si>
  <si>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</si>
  <si>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</si>
  <si>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</si>
  <si>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</si>
  <si>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</si>
  <si>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</si>
  <si>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</si>
  <si>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</si>
  <si>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</si>
  <si>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</si>
  <si>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</si>
  <si>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</si>
  <si>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</si>
  <si>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</si>
  <si>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</si>
  <si>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</si>
  <si>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</si>
  <si>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</si>
  <si>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</si>
  <si>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</si>
  <si>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</si>
  <si>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</si>
  <si>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</si>
  <si>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</si>
  <si>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</si>
  <si>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</si>
  <si>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</si>
  <si>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</si>
  <si>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</si>
  <si>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</si>
  <si>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</si>
  <si>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</si>
  <si>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</si>
  <si>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</si>
  <si>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</si>
  <si>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</si>
  <si>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</si>
  <si>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</si>
  <si>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</si>
  <si>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</si>
  <si>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</si>
  <si>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</si>
  <si>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</si>
  <si>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</si>
  <si>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</si>
  <si>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</si>
  <si>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</si>
  <si>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</si>
  <si>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</si>
  <si>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</si>
  <si>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</si>
  <si>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</si>
  <si>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</si>
  <si>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</si>
  <si>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</si>
  <si>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</si>
  <si>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</si>
  <si>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</si>
  <si>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</si>
  <si>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</si>
  <si>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</si>
  <si>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</si>
  <si>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</si>
  <si>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</si>
  <si>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</si>
  <si>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</si>
  <si>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</si>
  <si>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</si>
  <si>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</si>
  <si>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</si>
  <si>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</si>
  <si>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</si>
  <si>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</si>
  <si>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</si>
  <si>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</si>
  <si>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</si>
  <si>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</si>
  <si>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</si>
  <si>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</si>
  <si>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</si>
  <si>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</si>
  <si>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</si>
  <si>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</si>
  <si>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</si>
  <si>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</si>
  <si>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</si>
  <si>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</si>
  <si>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</si>
  <si>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</si>
  <si>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</si>
  <si>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</si>
  <si>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</si>
  <si>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</si>
  <si>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</si>
  <si>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</si>
  <si>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</si>
  <si>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</si>
  <si>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</si>
  <si>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</si>
  <si>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</si>
  <si>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</si>
  <si>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</si>
  <si>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</si>
  <si>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</si>
  <si>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</si>
  <si>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</si>
  <si>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</si>
  <si>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</si>
  <si>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</si>
  <si>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</si>
  <si>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</si>
  <si>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</si>
  <si>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</si>
  <si>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</si>
  <si>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</si>
  <si>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</si>
  <si>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</si>
  <si>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</si>
  <si>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</si>
  <si>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</si>
  <si>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</si>
  <si>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</si>
  <si>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</si>
  <si>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</si>
  <si>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</si>
  <si>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</si>
  <si>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</si>
  <si>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</si>
  <si>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</si>
  <si>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</si>
  <si>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</si>
  <si>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</si>
  <si>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</si>
  <si>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</si>
  <si>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</si>
  <si>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</si>
  <si>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</si>
  <si>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</si>
  <si>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</si>
  <si>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</si>
  <si>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</si>
  <si>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</si>
  <si>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</si>
  <si>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</si>
  <si>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</si>
  <si>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</si>
  <si>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</si>
  <si>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</si>
  <si>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</si>
  <si>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</si>
  <si>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</si>
  <si>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</si>
  <si>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</si>
  <si>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</si>
  <si>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</si>
  <si>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</si>
  <si>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</si>
  <si>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</si>
  <si>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</si>
  <si>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</si>
  <si>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</si>
  <si>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</si>
  <si>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</si>
  <si>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</si>
  <si>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</si>
  <si>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</si>
  <si>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</si>
  <si>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</si>
  <si>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</si>
  <si>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</si>
  <si>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</si>
  <si>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</si>
  <si>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</si>
  <si>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</si>
  <si>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</si>
  <si>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</si>
  <si>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</si>
  <si>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</si>
  <si>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</si>
  <si>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</si>
  <si>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</si>
  <si>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</si>
  <si>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</si>
  <si>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</si>
  <si>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</si>
  <si>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</si>
  <si>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</si>
  <si>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</si>
  <si>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</si>
  <si>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</si>
  <si>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</si>
  <si>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</si>
  <si>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</si>
  <si>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</si>
  <si>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</si>
  <si>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</si>
  <si>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</si>
  <si>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</si>
  <si>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</si>
  <si>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</si>
  <si>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</si>
  <si>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</si>
  <si>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</si>
  <si>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</si>
  <si>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</si>
  <si>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</si>
  <si>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</si>
  <si>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</si>
  <si>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</si>
  <si>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</si>
  <si>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</si>
  <si>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</si>
  <si>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</si>
  <si>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</si>
  <si>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</si>
  <si>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</si>
  <si>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</si>
  <si>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</si>
  <si>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</si>
  <si>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</si>
  <si>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</si>
  <si>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</si>
  <si>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</si>
  <si>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</si>
  <si>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</si>
  <si>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</si>
  <si>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</si>
  <si>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</si>
  <si>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</si>
  <si>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</si>
  <si>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</si>
  <si>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</si>
  <si>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</si>
  <si>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</si>
  <si>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</si>
  <si>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</si>
  <si>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</si>
  <si>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</si>
  <si>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</si>
  <si>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</si>
  <si>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</si>
  <si>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</si>
  <si>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</si>
  <si>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</si>
  <si>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</si>
  <si>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</si>
  <si>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</si>
  <si>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</si>
  <si>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</si>
  <si>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</si>
  <si>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</si>
  <si>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</si>
  <si>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</si>
  <si>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</si>
  <si>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</si>
  <si>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</si>
  <si>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</si>
  <si>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</si>
  <si>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</si>
  <si>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</si>
  <si>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</si>
  <si>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</si>
  <si>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</si>
  <si>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</si>
  <si>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</si>
  <si>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</si>
  <si>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</si>
  <si>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</si>
  <si>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</si>
  <si>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</si>
  <si>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</si>
  <si>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</si>
  <si>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</si>
  <si>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</si>
  <si>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</si>
  <si>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</si>
  <si>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</si>
  <si>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</si>
  <si>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</si>
  <si>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</si>
  <si>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</si>
  <si>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</si>
  <si>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</si>
  <si>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</si>
  <si>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</si>
  <si>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</si>
  <si>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</si>
  <si>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</si>
  <si>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</si>
  <si>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</si>
  <si>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</si>
  <si>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</si>
  <si>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</si>
  <si>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</si>
  <si>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</si>
  <si>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</si>
  <si>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</si>
  <si>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</si>
  <si>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</si>
  <si>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</si>
  <si>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</si>
  <si>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</si>
  <si>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</si>
  <si>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</si>
  <si>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</si>
  <si>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</si>
  <si>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</si>
  <si>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</si>
  <si>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</si>
  <si>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</si>
  <si>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</si>
  <si>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</si>
  <si>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</si>
  <si>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</si>
  <si>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</si>
  <si>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</si>
  <si>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</si>
  <si>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</si>
  <si>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</si>
  <si>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</si>
  <si>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</si>
  <si>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</si>
  <si>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</si>
  <si>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</si>
  <si>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</si>
  <si>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</si>
  <si>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</si>
  <si>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</si>
  <si>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</si>
  <si>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</si>
  <si>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</si>
  <si>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</si>
  <si>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</si>
  <si>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</si>
  <si>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</si>
  <si>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</si>
  <si>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</si>
  <si>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</si>
  <si>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</si>
  <si>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</si>
  <si>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</si>
  <si>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</si>
  <si>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</si>
  <si>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</si>
  <si>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</si>
  <si>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</si>
  <si>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</si>
  <si>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</si>
  <si>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</si>
  <si>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</si>
  <si>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</si>
  <si>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</si>
  <si>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</si>
  <si>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</si>
  <si>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</si>
  <si>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</si>
  <si>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</si>
  <si>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</si>
  <si>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</si>
  <si>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</si>
  <si>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</si>
  <si>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</si>
  <si>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</si>
  <si>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</si>
  <si>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</si>
  <si>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</si>
  <si>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</si>
  <si>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</si>
  <si>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</si>
  <si>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</si>
  <si>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</si>
  <si>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</si>
  <si>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</si>
  <si>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</si>
  <si>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</si>
  <si>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</si>
  <si>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</si>
  <si>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</si>
  <si>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</si>
  <si>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</si>
  <si>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</si>
  <si>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</si>
  <si>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</si>
  <si>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</si>
  <si>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</si>
  <si>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</si>
  <si>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</si>
  <si>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</si>
  <si>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</si>
  <si>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</si>
  <si>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</si>
  <si>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</si>
  <si>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</si>
  <si>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</si>
  <si>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</si>
  <si>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</si>
  <si>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</si>
  <si>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</si>
  <si>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</si>
  <si>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</si>
  <si>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</si>
  <si>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</si>
  <si>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</si>
  <si>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</si>
  <si>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</si>
  <si>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</si>
  <si>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</si>
  <si>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</si>
  <si>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</si>
  <si>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</si>
  <si>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</si>
  <si>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</si>
  <si>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</si>
  <si>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</si>
  <si>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</si>
  <si>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</si>
  <si>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</si>
  <si>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</si>
  <si>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</si>
  <si>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</si>
  <si>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</si>
  <si>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</si>
  <si>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</si>
  <si>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</si>
  <si>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</si>
  <si>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</si>
  <si>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</si>
  <si>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</si>
  <si>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</si>
  <si>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</si>
  <si>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</si>
  <si>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</si>
  <si>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</si>
  <si>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</si>
  <si>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</si>
  <si>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</si>
  <si>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</si>
  <si>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</si>
  <si>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</si>
  <si>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</si>
  <si>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</si>
  <si>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</si>
  <si>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</si>
  <si>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</si>
  <si>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</si>
  <si>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</si>
  <si>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</si>
  <si>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</si>
  <si>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</si>
  <si>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</si>
  <si>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</si>
  <si>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</si>
  <si>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</si>
  <si>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</si>
  <si>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</si>
  <si>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</si>
  <si>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</si>
  <si>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</si>
  <si>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</si>
  <si>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</si>
  <si>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</si>
  <si>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</si>
  <si>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</si>
  <si>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</si>
  <si>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</si>
  <si>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</si>
  <si>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</si>
  <si>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</si>
  <si>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</si>
  <si>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</si>
  <si>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</si>
  <si>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</si>
  <si>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</si>
  <si>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</si>
  <si>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</si>
  <si>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</si>
  <si>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</si>
  <si>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</si>
  <si>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</si>
  <si>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</si>
  <si>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</si>
  <si>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</si>
  <si>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</si>
  <si>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</si>
  <si>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</si>
  <si>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</si>
  <si>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</si>
  <si>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</si>
  <si>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</si>
  <si>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</si>
  <si>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</si>
  <si>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</si>
  <si>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</si>
  <si>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</si>
  <si>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</si>
  <si>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</si>
  <si>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</si>
  <si>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</si>
  <si>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</si>
  <si>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</si>
  <si>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</si>
  <si>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</si>
  <si>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</si>
  <si>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</si>
  <si>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</si>
  <si>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</si>
  <si>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</si>
  <si>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</si>
  <si>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</si>
  <si>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</si>
  <si>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</si>
  <si>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</si>
  <si>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</si>
  <si>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</si>
  <si>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</si>
  <si>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</si>
  <si>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</si>
  <si>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</si>
  <si>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</si>
  <si>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</si>
  <si>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</si>
  <si>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</si>
  <si>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</si>
  <si>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</si>
  <si>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</si>
  <si>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</si>
  <si>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</si>
  <si>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</si>
  <si>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</si>
  <si>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</si>
  <si>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</si>
  <si>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</si>
  <si>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</si>
  <si>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</si>
  <si>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</si>
  <si>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</si>
  <si>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</si>
  <si>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</si>
  <si>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</si>
  <si>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</si>
  <si>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</si>
  <si>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</si>
  <si>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</si>
  <si>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</si>
  <si>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</si>
  <si>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</si>
  <si>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</si>
  <si>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</si>
  <si>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</si>
  <si>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</si>
  <si>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</si>
  <si>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</si>
  <si>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</si>
  <si>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</si>
  <si>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</si>
  <si>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</si>
  <si>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</si>
  <si>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</si>
  <si>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</si>
  <si>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</si>
  <si>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</si>
  <si>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</si>
  <si>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</si>
  <si>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</si>
  <si>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</si>
  <si>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</si>
  <si>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</si>
  <si>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</si>
  <si>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</si>
  <si>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</si>
  <si>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</si>
  <si>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</si>
  <si>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</si>
  <si>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</si>
  <si>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</si>
  <si>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</si>
  <si>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</si>
  <si>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</si>
  <si>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</si>
  <si>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</si>
  <si>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</si>
  <si>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</si>
  <si>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</si>
  <si>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</si>
  <si>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</si>
  <si>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</si>
  <si>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</si>
  <si>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</si>
  <si>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</si>
  <si>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</si>
  <si>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</si>
  <si>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</si>
  <si>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</si>
  <si>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</si>
  <si>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</si>
  <si>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</si>
  <si>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</si>
  <si>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</si>
  <si>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</si>
  <si>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</si>
  <si>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</si>
  <si>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</si>
  <si>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</si>
  <si>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</si>
  <si>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</si>
  <si>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</si>
  <si>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</si>
  <si>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</si>
  <si>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</si>
  <si>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</si>
  <si>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</si>
  <si>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</si>
  <si>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</si>
  <si>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</si>
  <si>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</si>
  <si>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</si>
  <si>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</si>
  <si>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</si>
  <si>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</si>
  <si>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</si>
  <si>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</si>
  <si>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</si>
  <si>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</si>
  <si>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</si>
  <si>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</si>
  <si>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</si>
  <si>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</si>
  <si>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</si>
  <si>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</si>
  <si>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</si>
  <si>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</si>
  <si>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</si>
  <si>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</si>
  <si>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</si>
  <si>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</si>
  <si>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</si>
  <si>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</si>
  <si>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</si>
  <si>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</si>
  <si>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</si>
  <si>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</si>
  <si>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</si>
  <si>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</si>
  <si>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</si>
  <si>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</si>
  <si>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</si>
  <si>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</si>
  <si>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</si>
  <si>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</si>
  <si>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</si>
  <si>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</si>
  <si>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</si>
  <si>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</si>
  <si>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</si>
  <si>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</si>
  <si>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</si>
  <si>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</si>
  <si>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</si>
  <si>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</si>
  <si>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</si>
  <si>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</si>
  <si>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</si>
  <si>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</si>
  <si>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</si>
  <si>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</si>
  <si>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</si>
  <si>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</si>
  <si>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</si>
  <si>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</si>
  <si>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</si>
  <si>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</si>
  <si>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</si>
  <si>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</si>
  <si>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</si>
  <si>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</si>
  <si>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</si>
  <si>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</si>
  <si>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</si>
  <si>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</si>
  <si>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</si>
  <si>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</si>
  <si>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</si>
  <si>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</si>
  <si>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</si>
  <si>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</si>
  <si>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</si>
  <si>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</si>
  <si>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</si>
  <si>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</si>
  <si>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</si>
  <si>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</si>
  <si>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</si>
  <si>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</si>
  <si>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</si>
  <si>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</si>
  <si>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</si>
  <si>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</si>
  <si>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</si>
  <si>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</si>
  <si>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</si>
  <si>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</si>
  <si>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</si>
  <si>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</si>
  <si>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</si>
  <si>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</si>
  <si>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</si>
  <si>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</si>
  <si>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</si>
  <si>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</si>
  <si>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</si>
  <si>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</si>
  <si>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</si>
  <si>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</si>
  <si>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</si>
  <si>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</si>
  <si>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</si>
  <si>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</si>
  <si>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</si>
  <si>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</si>
  <si>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</si>
  <si>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</si>
  <si>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</si>
  <si>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</si>
  <si>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</si>
  <si>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</si>
  <si>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</si>
  <si>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</si>
  <si>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</si>
  <si>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</si>
  <si>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</si>
  <si>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</si>
  <si>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</si>
  <si>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</si>
  <si>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</si>
  <si>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</si>
  <si>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</si>
  <si>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</si>
  <si>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</si>
  <si>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</si>
  <si>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</si>
  <si>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</si>
  <si>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</si>
  <si>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</si>
  <si>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</si>
  <si>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</si>
  <si>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</si>
  <si>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</si>
  <si>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</si>
  <si>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</si>
  <si>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</si>
  <si>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</si>
  <si>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</si>
  <si>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</si>
  <si>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</si>
  <si>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</si>
  <si>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</si>
  <si>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</si>
  <si>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</si>
  <si>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</si>
  <si>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</si>
  <si>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</si>
  <si>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</si>
  <si>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</si>
  <si>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</si>
  <si>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</si>
  <si>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</si>
  <si>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</si>
  <si>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</si>
  <si>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</si>
  <si>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</si>
  <si>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</si>
  <si>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</si>
  <si>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</si>
  <si>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</si>
  <si>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</si>
  <si>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</si>
  <si>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</si>
  <si>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</si>
  <si>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</si>
  <si>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</si>
  <si>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</si>
  <si>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</si>
  <si>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</si>
  <si>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</si>
  <si>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</si>
  <si>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</si>
  <si>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</si>
  <si>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</si>
  <si>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</si>
  <si>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</si>
  <si>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</si>
  <si>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</si>
  <si>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</si>
  <si>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</si>
  <si>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</si>
  <si>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</si>
  <si>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</si>
  <si>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</si>
  <si>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</si>
  <si>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</si>
  <si>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</si>
  <si>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</si>
  <si>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</si>
  <si>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</si>
  <si>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</si>
  <si>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</si>
  <si>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</si>
  <si>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</si>
  <si>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</si>
  <si>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</si>
  <si>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</si>
  <si>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</si>
  <si>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</si>
  <si>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</si>
  <si>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</si>
  <si>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</si>
  <si>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</si>
  <si>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</si>
  <si>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</si>
  <si>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</si>
  <si>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</si>
  <si>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</si>
  <si>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</si>
  <si>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</si>
  <si>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</si>
  <si>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</si>
  <si>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</si>
  <si>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</si>
  <si>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</si>
  <si>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</si>
  <si>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</si>
  <si>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</si>
  <si>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</si>
  <si>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</si>
  <si>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</si>
  <si>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</si>
  <si>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</si>
  <si>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</si>
  <si>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</si>
  <si>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</si>
  <si>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</si>
  <si>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</si>
  <si>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</si>
  <si>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</si>
  <si>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</si>
  <si>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</si>
  <si>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</si>
  <si>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</si>
  <si>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</si>
  <si>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</si>
  <si>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</si>
  <si>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</si>
  <si>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</si>
  <si>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</si>
  <si>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</si>
  <si>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</si>
  <si>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</si>
  <si>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</si>
  <si>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</si>
  <si>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</si>
  <si>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</si>
  <si>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</si>
  <si>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</si>
  <si>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</si>
  <si>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</si>
  <si>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</si>
  <si>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</si>
  <si>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</si>
  <si>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</si>
  <si>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</si>
  <si>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</si>
  <si>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</si>
  <si>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</si>
  <si>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</si>
  <si>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</si>
  <si>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</si>
  <si>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</si>
  <si>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</si>
  <si>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</si>
  <si>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</si>
  <si>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</si>
  <si>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</si>
  <si>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</si>
  <si>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</si>
  <si>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</si>
  <si>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</si>
  <si>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</si>
  <si>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</si>
  <si>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</si>
  <si>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</si>
  <si>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</si>
  <si>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</si>
  <si>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</si>
  <si>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</si>
  <si>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</si>
  <si>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</si>
  <si>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</si>
  <si>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</si>
  <si>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</si>
  <si>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</si>
  <si>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</si>
  <si>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</si>
  <si>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</si>
  <si>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</si>
  <si>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</si>
  <si>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</si>
  <si>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</si>
  <si>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</si>
  <si>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</si>
  <si>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</si>
  <si>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</si>
  <si>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</si>
  <si>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</si>
  <si>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</si>
  <si>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</si>
  <si>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</si>
  <si>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</si>
  <si>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</si>
  <si>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</si>
  <si>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</si>
  <si>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</si>
  <si>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</si>
  <si>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</si>
  <si>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</si>
  <si>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</si>
  <si>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</si>
  <si>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</si>
  <si>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</si>
  <si>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</si>
  <si>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</si>
  <si>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</si>
  <si>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</si>
  <si>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</si>
  <si>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</si>
  <si>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</si>
  <si>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</si>
  <si>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</si>
  <si>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</si>
  <si>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</si>
  <si>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</si>
  <si>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</si>
  <si>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</si>
  <si>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</si>
  <si>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</si>
  <si>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</si>
  <si>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</si>
  <si>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</si>
  <si>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</si>
  <si>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</si>
  <si>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</si>
  <si>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</si>
  <si>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</si>
  <si>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</si>
  <si>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</si>
  <si>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</si>
  <si>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</si>
  <si>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</si>
  <si>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</si>
  <si>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</si>
  <si>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</si>
  <si>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</si>
  <si>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</si>
  <si>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</si>
  <si>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</si>
  <si>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</si>
  <si>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</si>
  <si>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</si>
  <si>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</si>
  <si>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</si>
  <si>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</si>
  <si>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</si>
  <si>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</si>
  <si>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</si>
  <si>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</si>
  <si>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</si>
  <si>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</si>
  <si>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</si>
  <si>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</si>
  <si>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</si>
  <si>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</si>
  <si>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</si>
  <si>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</si>
  <si>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</si>
  <si>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</si>
  <si>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</si>
  <si>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</si>
  <si>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</si>
  <si>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</si>
  <si>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</si>
  <si>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</si>
  <si>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</si>
  <si>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</si>
  <si>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</si>
  <si>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</si>
  <si>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</si>
  <si>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</si>
  <si>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</si>
  <si>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</si>
  <si>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</si>
  <si>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</si>
  <si>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</si>
  <si>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</si>
  <si>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</si>
  <si>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</si>
  <si>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</si>
  <si>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</si>
  <si>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</si>
  <si>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</si>
  <si>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</si>
  <si>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</si>
  <si>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</si>
  <si>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</si>
  <si>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</si>
  <si>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</si>
  <si>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</si>
  <si>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</si>
  <si>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</si>
  <si>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</si>
  <si>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</si>
  <si>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</si>
  <si>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</si>
  <si>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</si>
  <si>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</si>
  <si>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</si>
  <si>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</si>
  <si>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</si>
  <si>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</si>
  <si>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</si>
  <si>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</si>
  <si>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</si>
  <si>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</si>
  <si>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</si>
  <si>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</si>
  <si>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</si>
  <si>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</si>
  <si>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</si>
  <si>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</si>
  <si>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</si>
  <si>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</si>
  <si>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</si>
  <si>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</si>
  <si>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</si>
  <si>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</si>
  <si>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</si>
  <si>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</si>
  <si>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</si>
  <si>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</si>
  <si>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</si>
  <si>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</si>
  <si>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</si>
  <si>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</si>
  <si>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</si>
  <si>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</si>
  <si>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</si>
  <si>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</si>
  <si>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</si>
  <si>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</si>
  <si>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</si>
  <si>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</si>
  <si>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</si>
  <si>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</si>
  <si>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</si>
  <si>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</si>
  <si>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</si>
  <si>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</si>
  <si>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</si>
  <si>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</si>
  <si>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</si>
  <si>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</si>
  <si>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</si>
  <si>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</si>
  <si>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</si>
  <si>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</si>
  <si>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</si>
  <si>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</si>
  <si>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</si>
  <si>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</si>
  <si>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</si>
  <si>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</si>
  <si>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</si>
  <si>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</si>
  <si>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</si>
  <si>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</si>
  <si>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</si>
  <si>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</si>
  <si>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</si>
  <si>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</si>
  <si>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</si>
  <si>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</si>
  <si>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</si>
  <si>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</si>
  <si>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</si>
  <si>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</si>
  <si>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</si>
  <si>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</si>
  <si>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</si>
  <si>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</si>
  <si>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</si>
  <si>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</si>
  <si>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</si>
  <si>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</si>
  <si>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</si>
  <si>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</si>
  <si>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</si>
  <si>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</si>
  <si>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</si>
  <si>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</si>
  <si>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</si>
  <si>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</si>
  <si>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</si>
  <si>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</si>
  <si>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</si>
  <si>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</si>
  <si>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</si>
  <si>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</si>
  <si>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</si>
  <si>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</si>
  <si>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</si>
  <si>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</si>
  <si>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</si>
  <si>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</si>
  <si>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</si>
  <si>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</si>
  <si>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</si>
  <si>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</si>
  <si>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</si>
  <si>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</si>
  <si>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</si>
  <si>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</si>
  <si>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</si>
  <si>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</si>
  <si>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</si>
  <si>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</si>
  <si>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</si>
  <si>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</si>
  <si>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</si>
  <si>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</si>
  <si>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</si>
  <si>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</si>
  <si>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</si>
  <si>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</si>
  <si>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</si>
  <si>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</si>
  <si>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</si>
  <si>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</si>
  <si>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</si>
  <si>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</si>
  <si>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</si>
  <si>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</si>
  <si>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</si>
  <si>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</si>
  <si>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</si>
  <si>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</si>
  <si>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</si>
  <si>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</si>
  <si>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</si>
  <si>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</si>
  <si>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</si>
  <si>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</si>
  <si>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</si>
  <si>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</si>
  <si>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</si>
  <si>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</si>
  <si>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</si>
  <si>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</si>
  <si>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</si>
  <si>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</si>
  <si>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</si>
  <si>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</si>
  <si>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</si>
  <si>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</si>
  <si>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</si>
  <si>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</si>
  <si>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</si>
  <si>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</si>
  <si>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</si>
  <si>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</si>
  <si>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</si>
  <si>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</si>
  <si>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</si>
  <si>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</si>
  <si>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</si>
  <si>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</si>
  <si>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</si>
  <si>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</si>
  <si>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</si>
  <si>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</si>
  <si>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</si>
  <si>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</si>
  <si>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</si>
  <si>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</si>
  <si>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</si>
  <si>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</si>
  <si>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</si>
  <si>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</si>
  <si>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</si>
  <si>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</si>
  <si>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</si>
  <si>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</si>
  <si>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</si>
  <si>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</si>
  <si>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</si>
  <si>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</si>
  <si>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</si>
  <si>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</si>
  <si>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</si>
  <si>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</si>
  <si>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</si>
  <si>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</si>
  <si>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</si>
  <si>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</si>
  <si>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</si>
  <si>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</si>
  <si>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</si>
  <si>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</si>
  <si>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</si>
  <si>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</si>
  <si>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</si>
  <si>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</si>
  <si>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</si>
  <si>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</si>
  <si>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</si>
  <si>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</si>
  <si>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</si>
  <si>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</si>
  <si>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</si>
  <si>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</si>
  <si>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</si>
  <si>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</si>
  <si>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</si>
  <si>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</si>
  <si>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</si>
  <si>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</si>
  <si>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</si>
  <si>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</si>
  <si>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</si>
  <si>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</si>
  <si>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</si>
  <si>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</si>
  <si>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</si>
  <si>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</si>
  <si>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</si>
  <si>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</si>
  <si>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</si>
  <si>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</si>
  <si>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</si>
  <si>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</si>
  <si>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</si>
  <si>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</si>
  <si>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</si>
  <si>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</si>
  <si>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</si>
  <si>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</si>
  <si>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</si>
  <si>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</si>
  <si>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</si>
  <si>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</si>
  <si>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</si>
  <si>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</si>
  <si>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</si>
  <si>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</si>
  <si>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</si>
  <si>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</si>
  <si>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</si>
  <si>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</si>
  <si>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</si>
  <si>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</si>
  <si>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</si>
  <si>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</si>
  <si>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</si>
  <si>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</si>
  <si>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</si>
  <si>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</si>
  <si>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</si>
  <si>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</si>
  <si>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</si>
  <si>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</si>
  <si>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</si>
  <si>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</si>
  <si>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</si>
  <si>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</si>
  <si>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</si>
  <si>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</si>
  <si>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</si>
  <si>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</si>
  <si>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</si>
  <si>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</si>
  <si>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</si>
  <si>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</si>
  <si>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</si>
  <si>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</si>
  <si>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</si>
  <si>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</si>
  <si>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</si>
  <si>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</si>
  <si>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</si>
  <si>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</si>
  <si>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</si>
  <si>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</si>
  <si>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</si>
  <si>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</si>
  <si>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</si>
  <si>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</si>
  <si>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</si>
  <si>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</si>
  <si>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</si>
  <si>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</si>
  <si>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</si>
  <si>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</si>
  <si>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</si>
  <si>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</si>
  <si>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</si>
  <si>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</si>
  <si>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</si>
  <si>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</si>
  <si>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</si>
  <si>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</si>
  <si>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</si>
  <si>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</si>
  <si>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</si>
  <si>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</si>
  <si>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</si>
  <si>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</si>
  <si>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</si>
  <si>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</si>
  <si>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</si>
  <si>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</si>
  <si>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</si>
  <si>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</si>
  <si>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</si>
  <si>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</si>
  <si>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</si>
  <si>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</si>
  <si>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</si>
  <si>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</si>
  <si>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</si>
  <si>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</si>
  <si>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</si>
  <si>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</si>
  <si>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</si>
  <si>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</si>
  <si>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</si>
  <si>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</si>
  <si>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</si>
  <si>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</si>
  <si>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</si>
  <si>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</si>
  <si>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</si>
  <si>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</si>
  <si>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</si>
  <si>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</si>
  <si>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</si>
  <si>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</si>
  <si>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</si>
  <si>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</si>
  <si>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</si>
  <si>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</si>
  <si>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</si>
  <si>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</si>
  <si>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</si>
  <si>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</si>
  <si>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</si>
  <si>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</si>
  <si>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</si>
  <si>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</si>
  <si>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</si>
  <si>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</si>
  <si>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</si>
  <si>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</si>
  <si>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</si>
  <si>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</si>
  <si>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</si>
  <si>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</si>
  <si>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</si>
  <si>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</si>
  <si>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</si>
  <si>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</si>
  <si>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</si>
  <si>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</si>
  <si>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</si>
  <si>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</si>
  <si>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</si>
  <si>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</si>
  <si>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</si>
  <si>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</si>
  <si>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</si>
  <si>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</si>
  <si>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</si>
  <si>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</si>
  <si>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</si>
  <si>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</si>
  <si>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</si>
  <si>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</si>
  <si>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</si>
  <si>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</si>
  <si>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</si>
  <si>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</si>
  <si>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</si>
  <si>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</si>
  <si>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</si>
  <si>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</si>
  <si>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</si>
  <si>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</si>
  <si>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</si>
  <si>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</si>
  <si>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</si>
  <si>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</si>
  <si>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</si>
  <si>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</si>
  <si>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</si>
  <si>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</si>
  <si>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</si>
  <si>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</si>
  <si>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</si>
  <si>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</si>
  <si>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</si>
  <si>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</si>
  <si>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</si>
  <si>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</si>
  <si>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</si>
  <si>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</si>
  <si>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</si>
  <si>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</si>
  <si>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</si>
  <si>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</si>
  <si>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</si>
  <si>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</si>
  <si>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</si>
  <si>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</si>
  <si>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</si>
  <si>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</si>
  <si>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</si>
  <si>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</si>
  <si>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</si>
  <si>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</si>
  <si>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</si>
  <si>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</si>
  <si>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</si>
  <si>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</si>
  <si>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</si>
  <si>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</si>
  <si>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</si>
  <si>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</si>
  <si>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</si>
  <si>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</si>
  <si>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</si>
  <si>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</si>
  <si>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</si>
  <si>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</si>
  <si>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</si>
  <si>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</si>
  <si>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</si>
  <si>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</si>
  <si>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</si>
  <si>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</si>
  <si>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</si>
  <si>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</si>
  <si>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</si>
  <si>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</si>
  <si>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</si>
  <si>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</si>
  <si>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</si>
  <si>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</si>
  <si>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</si>
  <si>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</si>
  <si>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</si>
  <si>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</si>
  <si>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</si>
  <si>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</si>
  <si>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</si>
  <si>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</si>
  <si>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</si>
  <si>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</si>
  <si>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</si>
  <si>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</si>
  <si>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</si>
  <si>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</si>
  <si>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</si>
  <si>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</si>
  <si>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</si>
  <si>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</si>
  <si>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</si>
  <si>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</si>
  <si>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</si>
  <si>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</si>
  <si>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</si>
  <si>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</si>
  <si>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</si>
  <si>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</si>
  <si>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</si>
  <si>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</si>
  <si>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</si>
  <si>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</si>
  <si>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</si>
  <si>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</si>
  <si>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</si>
  <si>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</si>
  <si>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</si>
  <si>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</si>
  <si>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</si>
  <si>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</si>
  <si>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</si>
  <si>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</si>
  <si>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</si>
  <si>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</si>
  <si>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</si>
  <si>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</si>
  <si>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</si>
  <si>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</si>
  <si>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</si>
  <si>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</si>
  <si>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</si>
  <si>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</si>
  <si>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</si>
  <si>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</si>
  <si>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</si>
  <si>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</si>
  <si>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</si>
  <si>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</si>
  <si>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</si>
  <si>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</si>
  <si>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</si>
  <si>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</si>
  <si>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</si>
  <si>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</si>
  <si>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</si>
  <si>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</si>
  <si>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</si>
  <si>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</si>
  <si>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</si>
  <si>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</si>
  <si>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</si>
  <si>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</si>
  <si>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</si>
  <si>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</si>
  <si>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</si>
  <si>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</si>
  <si>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</si>
  <si>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</si>
  <si>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</si>
  <si>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</si>
  <si>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</si>
  <si>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</si>
  <si>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</si>
  <si>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</si>
  <si>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</si>
  <si>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</si>
  <si>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</si>
  <si>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</si>
  <si>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</si>
  <si>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</si>
  <si>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</si>
  <si>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</si>
  <si>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</si>
  <si>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</si>
  <si>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</si>
  <si>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</si>
  <si>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</si>
  <si>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</si>
  <si>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</si>
  <si>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</si>
  <si>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</si>
  <si>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</si>
  <si>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</si>
  <si>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</si>
  <si>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</si>
  <si>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</si>
  <si>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</si>
  <si>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</si>
  <si>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</si>
  <si>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</si>
  <si>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</si>
  <si>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</si>
  <si>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</si>
  <si>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</si>
  <si>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</si>
  <si>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</si>
  <si>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</si>
  <si>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</si>
  <si>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</si>
  <si>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</si>
  <si>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</si>
  <si>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</si>
  <si>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</si>
  <si>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</si>
  <si>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</si>
  <si>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</si>
  <si>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</si>
  <si>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</si>
  <si>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</si>
  <si>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</si>
  <si>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</si>
  <si>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</si>
  <si>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</si>
  <si>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</si>
  <si>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</si>
  <si>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</si>
  <si>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</si>
  <si>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</si>
  <si>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</si>
  <si>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</si>
  <si>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</si>
  <si>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</si>
  <si>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</si>
  <si>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</si>
  <si>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</si>
  <si>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</si>
  <si>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</si>
  <si>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</si>
  <si>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</si>
  <si>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</si>
  <si>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</si>
  <si>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</si>
  <si>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</si>
  <si>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</si>
  <si>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</si>
  <si>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</si>
  <si>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</si>
  <si>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</si>
  <si>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</si>
  <si>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</si>
  <si>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</si>
  <si>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</si>
  <si>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</si>
  <si>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</si>
  <si>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</si>
  <si>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</si>
  <si>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</si>
  <si>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</si>
  <si>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</si>
  <si>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</si>
  <si>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</si>
  <si>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</si>
  <si>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</si>
  <si>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</si>
  <si>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</si>
  <si>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</si>
  <si>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</si>
  <si>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</si>
  <si>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</si>
  <si>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</si>
  <si>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</si>
  <si>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</si>
  <si>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</si>
  <si>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</si>
  <si>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</si>
  <si>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</si>
  <si>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</si>
  <si>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</si>
  <si>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</si>
  <si>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</si>
  <si>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</si>
  <si>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</si>
  <si>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</si>
  <si>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</si>
  <si>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</si>
  <si>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</si>
  <si>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</si>
  <si>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</si>
  <si>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</si>
  <si>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</si>
  <si>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</si>
  <si>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</si>
  <si>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</si>
  <si>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</si>
  <si>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</si>
  <si>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</si>
  <si>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</si>
  <si>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</si>
  <si>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</si>
  <si>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</si>
  <si>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</si>
  <si>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</si>
  <si>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</si>
  <si>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</si>
  <si>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</si>
  <si>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</si>
  <si>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</si>
  <si>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</si>
  <si>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</si>
  <si>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</si>
  <si>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</si>
  <si>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</si>
  <si>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</si>
  <si>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</si>
  <si>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</si>
  <si>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</si>
  <si>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</si>
  <si>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</si>
  <si>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</si>
  <si>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</si>
  <si>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</si>
  <si>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</si>
  <si>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</si>
  <si>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</si>
  <si>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</si>
  <si>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</si>
  <si>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</si>
  <si>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</si>
  <si>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</si>
  <si>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</si>
  <si>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</si>
  <si>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</si>
  <si>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</si>
  <si>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</si>
  <si>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</si>
  <si>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</si>
  <si>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</si>
  <si>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</si>
  <si>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</si>
  <si>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</si>
  <si>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</si>
  <si>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</si>
  <si>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</si>
  <si>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</si>
  <si>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</si>
  <si>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</si>
  <si>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</si>
  <si>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</si>
  <si>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</si>
  <si>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</si>
  <si>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</si>
  <si>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</si>
  <si>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</si>
  <si>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</si>
  <si>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</si>
  <si>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</si>
  <si>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</si>
  <si>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</si>
  <si>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</si>
  <si>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</si>
  <si>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</si>
  <si>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</si>
  <si>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</si>
  <si>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</si>
  <si>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</si>
  <si>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</si>
  <si>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</si>
  <si>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</si>
  <si>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</si>
  <si>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</si>
  <si>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</si>
  <si>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</si>
  <si>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</si>
  <si>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</si>
  <si>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</si>
  <si>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</si>
  <si>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</si>
  <si>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</si>
  <si>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</si>
  <si>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</si>
  <si>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</si>
  <si>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</si>
  <si>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</si>
  <si>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</si>
  <si>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</si>
  <si>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</si>
  <si>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</si>
  <si>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</si>
  <si>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</si>
  <si>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</si>
  <si>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</si>
  <si>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</si>
  <si>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</si>
  <si>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</si>
  <si>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</si>
  <si>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</si>
  <si>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</si>
  <si>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</si>
  <si>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</si>
  <si>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</si>
  <si>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</si>
  <si>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</si>
  <si>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</si>
  <si>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</si>
  <si>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</si>
  <si>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</si>
  <si>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</si>
  <si>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</si>
  <si>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</si>
  <si>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</si>
  <si>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</si>
  <si>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</si>
  <si>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</si>
  <si>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</si>
  <si>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</si>
  <si>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</si>
  <si>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</si>
  <si>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</si>
  <si>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</si>
  <si>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</si>
  <si>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</si>
  <si>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</si>
  <si>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</si>
  <si>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</si>
  <si>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</si>
  <si>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</si>
  <si>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</si>
  <si>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</si>
  <si>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</si>
  <si>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</si>
  <si>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</si>
  <si>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</si>
  <si>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</si>
  <si>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</si>
  <si>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</si>
  <si>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</si>
  <si>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</si>
  <si>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</si>
  <si>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</si>
  <si>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</si>
  <si>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</si>
  <si>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</si>
  <si>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</si>
  <si>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</si>
  <si>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</si>
  <si>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</si>
  <si>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</si>
  <si>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</si>
  <si>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</si>
  <si>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</si>
  <si>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</si>
  <si>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</si>
  <si>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</si>
  <si>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</si>
  <si>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</si>
  <si>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</si>
  <si>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</si>
  <si>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</si>
  <si>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</si>
  <si>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</si>
  <si>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</si>
  <si>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</si>
  <si>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</si>
  <si>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</si>
  <si>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</si>
  <si>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</si>
  <si>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</si>
  <si>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</si>
  <si>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</si>
  <si>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</si>
  <si>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</si>
  <si>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</si>
  <si>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</si>
  <si>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</si>
  <si>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</si>
  <si>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</si>
  <si>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</si>
  <si>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</si>
  <si>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</si>
  <si>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</si>
  <si>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</si>
  <si>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</si>
  <si>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</si>
  <si>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</si>
  <si>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</si>
  <si>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</si>
  <si>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</si>
  <si>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</si>
  <si>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</si>
  <si>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</si>
  <si>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</si>
  <si>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</si>
  <si>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</si>
  <si>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</si>
  <si>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</si>
  <si>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</si>
  <si>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</si>
  <si>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</si>
  <si>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</si>
  <si>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</si>
  <si>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</si>
  <si>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</si>
  <si>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</si>
  <si>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</si>
  <si>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</si>
  <si>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</si>
  <si>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</si>
  <si>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</si>
  <si>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</si>
  <si>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</si>
  <si>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</si>
  <si>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</si>
  <si>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</si>
  <si>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</si>
  <si>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</si>
  <si>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</si>
  <si>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</si>
  <si>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</si>
  <si>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</si>
  <si>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</si>
  <si>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</si>
  <si>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</si>
  <si>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</si>
  <si>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</si>
  <si>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</si>
  <si>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</si>
  <si>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</si>
  <si>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</si>
  <si>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</si>
  <si>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</si>
  <si>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</si>
  <si>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</si>
  <si>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</si>
  <si>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</si>
  <si>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</si>
  <si>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</si>
  <si>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</si>
  <si>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</si>
  <si>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</si>
  <si>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</si>
  <si>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</si>
  <si>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</si>
  <si>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</si>
  <si>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</si>
  <si>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</si>
  <si>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</si>
  <si>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</si>
  <si>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</si>
  <si>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</si>
  <si>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</si>
  <si>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</si>
  <si>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</si>
  <si>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</si>
  <si>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</si>
  <si>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</si>
  <si>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</si>
  <si>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</si>
  <si>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</si>
  <si>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</si>
  <si>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</si>
  <si>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</si>
  <si>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</si>
  <si>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</si>
  <si>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</si>
  <si>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</si>
  <si>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</si>
  <si>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</si>
  <si>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</si>
  <si>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</si>
  <si>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</si>
  <si>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</si>
  <si>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</si>
  <si>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</si>
  <si>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</si>
  <si>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</si>
  <si>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</si>
  <si>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</si>
  <si>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</si>
  <si>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</si>
  <si>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</si>
  <si>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</si>
  <si>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</si>
  <si>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</si>
  <si>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</si>
  <si>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</si>
  <si>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</si>
  <si>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</si>
  <si>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</si>
  <si>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</si>
  <si>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</si>
  <si>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</si>
  <si>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</si>
  <si>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</si>
  <si>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</si>
  <si>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</si>
  <si>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</si>
  <si>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</si>
  <si>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</si>
  <si>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</si>
  <si>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</si>
  <si>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</si>
  <si>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</si>
  <si>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</si>
  <si>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</si>
  <si>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</si>
  <si>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</si>
  <si>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</si>
  <si>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</si>
  <si>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</si>
  <si>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</si>
  <si>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</si>
  <si>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</si>
  <si>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</si>
  <si>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</si>
  <si>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</si>
  <si>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</si>
  <si>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</si>
  <si>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</si>
  <si>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</si>
  <si>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</si>
  <si>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</si>
  <si>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</si>
  <si>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</si>
  <si>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</si>
  <si>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</si>
  <si>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</si>
  <si>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</si>
  <si>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</si>
  <si>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</si>
  <si>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</si>
  <si>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</si>
  <si>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</si>
  <si>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</si>
  <si>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</si>
  <si>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</si>
  <si>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</si>
  <si>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</si>
  <si>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</si>
  <si>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</si>
  <si>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</si>
  <si>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</si>
  <si>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</si>
  <si>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</si>
  <si>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</si>
  <si>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</si>
  <si>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</si>
  <si>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</si>
  <si>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</si>
  <si>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</si>
  <si>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</si>
  <si>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</si>
  <si>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</si>
  <si>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</si>
  <si>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</si>
  <si>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</si>
  <si>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</si>
  <si>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</si>
  <si>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</si>
  <si>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</si>
  <si>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</si>
  <si>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</si>
  <si>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</si>
  <si>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</si>
  <si>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</si>
  <si>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</si>
  <si>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</si>
  <si>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</si>
  <si>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</si>
  <si>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</si>
  <si>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</si>
  <si>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</si>
  <si>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</si>
  <si>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</si>
  <si>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</si>
  <si>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</si>
  <si>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</si>
  <si>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</si>
  <si>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</si>
  <si>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</si>
  <si>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</si>
  <si>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</si>
  <si>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</si>
  <si>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</si>
  <si>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</si>
  <si>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</si>
  <si>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</si>
  <si>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</si>
  <si>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</si>
  <si>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</si>
  <si>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</si>
  <si>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</si>
  <si>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</si>
  <si>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</si>
  <si>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</si>
  <si>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</si>
  <si>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</si>
  <si>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</si>
  <si>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</si>
  <si>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</si>
  <si>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</si>
  <si>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</si>
  <si>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</si>
  <si>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</si>
  <si>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</si>
  <si>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</si>
  <si>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</si>
  <si>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</si>
  <si>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</si>
  <si>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</si>
  <si>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</si>
  <si>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</si>
  <si>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</si>
  <si>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</si>
  <si>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</si>
  <si>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</si>
  <si>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</si>
  <si>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</si>
  <si>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</si>
  <si>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</si>
  <si>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</si>
  <si>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</si>
  <si>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</si>
  <si>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</si>
  <si>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</si>
  <si>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</si>
  <si>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</si>
  <si>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</si>
  <si>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</si>
  <si>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</si>
  <si>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</si>
  <si>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</si>
  <si>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</si>
  <si>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</si>
  <si>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</si>
  <si>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</si>
  <si>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</si>
  <si>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</si>
  <si>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</si>
  <si>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</si>
  <si>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</si>
  <si>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</si>
  <si>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</si>
  <si>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</si>
  <si>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</si>
  <si>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</si>
  <si>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</si>
  <si>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</si>
  <si>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</si>
  <si>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</si>
  <si>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</si>
  <si>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</si>
  <si>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</si>
  <si>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</si>
  <si>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</si>
  <si>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</si>
  <si>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</si>
  <si>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</si>
  <si>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</si>
  <si>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</si>
  <si>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</si>
  <si>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</si>
  <si>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</si>
  <si>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</si>
  <si>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</si>
  <si>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</si>
  <si>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</si>
  <si>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</si>
  <si>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</si>
  <si>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</si>
  <si>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</si>
  <si>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</si>
  <si>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</si>
  <si>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</si>
  <si>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</si>
  <si>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</si>
  <si>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</si>
  <si>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</si>
  <si>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</si>
  <si>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</si>
  <si>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</si>
  <si>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</si>
  <si>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</si>
  <si>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</si>
  <si>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</si>
  <si>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</si>
  <si>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</si>
  <si>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</si>
  <si>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</si>
  <si>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</si>
  <si>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</si>
  <si>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</si>
  <si>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</si>
  <si>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</si>
  <si>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</si>
  <si>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</si>
  <si>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</si>
  <si>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</si>
  <si>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</si>
  <si>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</si>
  <si>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</si>
  <si>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</si>
  <si>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</si>
  <si>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</si>
  <si>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</si>
  <si>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</si>
  <si>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</si>
  <si>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</si>
  <si>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</si>
  <si>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</si>
  <si>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</si>
  <si>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</si>
  <si>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</si>
  <si>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</si>
  <si>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</si>
  <si>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</si>
  <si>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</si>
  <si>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</si>
  <si>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</si>
  <si>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</si>
  <si>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</si>
  <si>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</si>
  <si>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</si>
  <si>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</si>
  <si>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</si>
  <si>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</si>
  <si>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</si>
  <si>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</si>
  <si>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</si>
  <si>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</si>
  <si>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</si>
  <si>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</si>
  <si>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</si>
  <si>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</si>
  <si>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</si>
  <si>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</si>
  <si>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</si>
  <si>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</si>
  <si>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</si>
  <si>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</si>
  <si>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</si>
  <si>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</si>
  <si>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</si>
  <si>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</si>
  <si>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</si>
  <si>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</si>
  <si>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</si>
  <si>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</si>
  <si>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</si>
  <si>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</si>
  <si>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</si>
  <si>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</si>
  <si>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</si>
  <si>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</si>
  <si>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</si>
  <si>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</si>
  <si>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</si>
  <si>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</si>
  <si>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</si>
  <si>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</si>
  <si>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</si>
  <si>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</si>
  <si>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</si>
  <si>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</si>
  <si>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</si>
  <si>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</si>
  <si>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</si>
  <si>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</si>
  <si>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</si>
  <si>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</si>
  <si>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</si>
  <si>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</si>
  <si>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</si>
  <si>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</si>
  <si>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</si>
  <si>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</si>
  <si>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</si>
  <si>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</si>
  <si>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</si>
  <si>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</si>
  <si>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</si>
  <si>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</si>
  <si>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</si>
  <si>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</si>
  <si>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</si>
  <si>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</si>
  <si>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</si>
  <si>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</si>
  <si>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</si>
  <si>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</si>
  <si>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</si>
  <si>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</si>
  <si>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</si>
  <si>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</si>
  <si>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</si>
  <si>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</si>
  <si>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</si>
  <si>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</si>
  <si>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</si>
  <si>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</si>
  <si>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</si>
  <si>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</si>
  <si>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</si>
  <si>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</si>
  <si>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</si>
  <si>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</si>
  <si>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</si>
  <si>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</si>
  <si>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</si>
  <si>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</si>
  <si>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</si>
  <si>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</si>
  <si>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</si>
  <si>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</si>
  <si>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</si>
  <si>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</si>
  <si>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</si>
  <si>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</si>
  <si>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</si>
  <si>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</si>
  <si>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</si>
  <si>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</si>
  <si>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</si>
  <si>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</si>
  <si>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</si>
  <si>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</si>
  <si>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</si>
  <si>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</si>
  <si>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</si>
  <si>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</si>
  <si>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</si>
  <si>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</si>
  <si>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</si>
  <si>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</si>
  <si>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</si>
  <si>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</si>
  <si>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</si>
  <si>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</si>
  <si>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</si>
  <si>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</si>
  <si>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</si>
  <si>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</si>
  <si>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</si>
  <si>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</si>
  <si>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</si>
  <si>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</si>
  <si>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</si>
  <si>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</si>
  <si>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</si>
  <si>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</si>
  <si>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</si>
  <si>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</si>
  <si>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</si>
  <si>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</si>
  <si>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</si>
  <si>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</si>
  <si>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</si>
  <si>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</si>
  <si>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</si>
  <si>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</si>
  <si>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</si>
  <si>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</si>
  <si>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</si>
  <si>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</si>
  <si>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</si>
  <si>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</si>
  <si>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</si>
  <si>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</si>
  <si>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</si>
  <si>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</si>
  <si>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</si>
  <si>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</si>
  <si>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</si>
  <si>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</si>
  <si>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</si>
  <si>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</si>
  <si>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</si>
  <si>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</si>
  <si>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</si>
  <si>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</si>
  <si>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</si>
  <si>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</si>
  <si>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</si>
  <si>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</si>
  <si>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</si>
  <si>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</si>
  <si>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</si>
  <si>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</si>
  <si>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</si>
  <si>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</si>
  <si>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</si>
  <si>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</si>
  <si>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</si>
  <si>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</si>
  <si>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</si>
  <si>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</si>
  <si>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</si>
  <si>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</si>
  <si>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</si>
  <si>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</si>
  <si>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</si>
  <si>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</si>
  <si>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</si>
  <si>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</si>
  <si>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</si>
  <si>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</si>
  <si>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</si>
  <si>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</si>
  <si>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</si>
  <si>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</si>
  <si>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</si>
  <si>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</si>
  <si>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</si>
  <si>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</si>
  <si>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</si>
  <si>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</si>
  <si>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</si>
  <si>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</si>
  <si>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</si>
  <si>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</si>
  <si>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</si>
  <si>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</si>
  <si>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</si>
  <si>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</si>
  <si>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</si>
  <si>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</si>
  <si>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</si>
  <si>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</si>
  <si>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</si>
  <si>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</si>
  <si>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</si>
  <si>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</si>
  <si>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</si>
  <si>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</si>
  <si>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</si>
  <si>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</si>
  <si>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</si>
  <si>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</si>
  <si>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</si>
  <si>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</si>
  <si>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</si>
  <si>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</si>
  <si>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</si>
  <si>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</si>
  <si>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</si>
  <si>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</si>
  <si>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</si>
  <si>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</si>
  <si>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</si>
  <si>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</si>
  <si>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</si>
  <si>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</si>
  <si>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</si>
  <si>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</si>
  <si>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</si>
  <si>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</si>
  <si>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</si>
  <si>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</si>
  <si>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</si>
  <si>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</si>
  <si>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</si>
  <si>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</si>
  <si>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</si>
  <si>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</si>
  <si>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</si>
  <si>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</si>
  <si>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</si>
  <si>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</si>
  <si>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</si>
  <si>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</si>
  <si>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</si>
  <si>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</si>
  <si>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</si>
  <si>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</si>
  <si>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</si>
  <si>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</si>
  <si>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</si>
  <si>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</si>
  <si>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</si>
  <si>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</si>
  <si>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</si>
  <si>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</si>
  <si>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</si>
  <si>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</si>
  <si>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</si>
  <si>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</si>
  <si>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</si>
  <si>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</si>
  <si>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</si>
  <si>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</si>
  <si>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</si>
  <si>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</si>
  <si>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</si>
  <si>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</si>
  <si>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</si>
  <si>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</si>
  <si>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</si>
  <si>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</si>
  <si>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</si>
  <si>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</si>
  <si>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</si>
  <si>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</si>
  <si>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</si>
  <si>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</si>
  <si>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</si>
  <si>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</si>
  <si>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</si>
  <si>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</si>
  <si>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</si>
  <si>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</si>
  <si>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</si>
  <si>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</si>
  <si>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</si>
  <si>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</si>
  <si>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</si>
  <si>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</si>
  <si>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</si>
  <si>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</si>
  <si>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</si>
  <si>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</si>
  <si>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</si>
  <si>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</si>
  <si>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</si>
  <si>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</si>
  <si>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</si>
  <si>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</si>
  <si>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</si>
  <si>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</si>
  <si>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</si>
  <si>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</si>
  <si>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</si>
  <si>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</si>
  <si>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</si>
  <si>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</si>
  <si>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</si>
  <si>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</si>
  <si>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</si>
  <si>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</si>
  <si>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</si>
  <si>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</si>
  <si>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</si>
  <si>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</si>
  <si>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</si>
  <si>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</si>
  <si>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</si>
  <si>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</si>
  <si>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</si>
  <si>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</si>
  <si>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</si>
  <si>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</si>
  <si>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</si>
  <si>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</si>
  <si>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</si>
  <si>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</si>
  <si>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</si>
  <si>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</si>
  <si>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</si>
  <si>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</si>
  <si>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</si>
  <si>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</si>
  <si>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</si>
  <si>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</si>
  <si>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</si>
  <si>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</si>
  <si>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</si>
  <si>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</si>
  <si>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</si>
  <si>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</si>
  <si>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</si>
  <si>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</si>
  <si>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</si>
  <si>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</si>
  <si>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</si>
  <si>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</si>
  <si>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</si>
  <si>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</si>
  <si>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</si>
  <si>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</si>
  <si>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</si>
  <si>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</si>
  <si>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</si>
  <si>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</si>
  <si>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</si>
  <si>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</si>
  <si>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</si>
  <si>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</si>
  <si>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</si>
  <si>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</si>
  <si>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</si>
  <si>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</si>
  <si>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</si>
  <si>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</si>
  <si>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</si>
  <si>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</si>
  <si>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</si>
  <si>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</si>
  <si>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</si>
  <si>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</si>
  <si>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</si>
  <si>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</si>
  <si>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</si>
  <si>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</si>
  <si>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</si>
  <si>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</si>
  <si>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</si>
  <si>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</si>
  <si>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</si>
  <si>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</si>
  <si>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</si>
  <si>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</si>
  <si>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</si>
  <si>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</si>
  <si>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</si>
  <si>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</si>
  <si>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</si>
  <si>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</si>
  <si>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</si>
  <si>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</si>
  <si>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</si>
  <si>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</si>
  <si>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</si>
  <si>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</si>
  <si>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</si>
  <si>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</si>
  <si>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</si>
  <si>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</si>
  <si>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</si>
  <si>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</si>
  <si>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</si>
  <si>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</si>
  <si>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</si>
  <si>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</si>
  <si>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</si>
  <si>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</si>
  <si>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</si>
  <si>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</si>
  <si>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</si>
  <si>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</si>
  <si>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</si>
  <si>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</si>
  <si>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</si>
  <si>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</si>
  <si>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</si>
  <si>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</si>
  <si>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</si>
  <si>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</si>
  <si>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</si>
  <si>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</si>
  <si>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</si>
  <si>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</si>
  <si>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</si>
  <si>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</si>
  <si>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</si>
  <si>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</si>
  <si>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</si>
  <si>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</si>
  <si>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</si>
  <si>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</si>
  <si>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</si>
  <si>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</si>
  <si>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</si>
  <si>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</si>
  <si>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</si>
  <si>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</si>
  <si>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</si>
  <si>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</si>
  <si>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</si>
  <si>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</si>
  <si>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</si>
  <si>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</si>
  <si>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</si>
  <si>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</si>
  <si>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</si>
  <si>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</si>
  <si>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</si>
  <si>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</si>
  <si>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</si>
  <si>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</si>
  <si>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</si>
  <si>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</si>
  <si>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</si>
  <si>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</si>
  <si>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</si>
  <si>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</si>
  <si>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</si>
  <si>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</si>
  <si>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</si>
  <si>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</si>
  <si>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</si>
  <si>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</si>
  <si>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</si>
  <si>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</si>
  <si>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</si>
  <si>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</si>
  <si>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</si>
  <si>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</si>
  <si>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</si>
  <si>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</si>
  <si>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</si>
  <si>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</si>
  <si>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</si>
  <si>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</si>
  <si>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</si>
  <si>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</si>
  <si>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</si>
  <si>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</si>
  <si>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</si>
  <si>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</si>
  <si>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</si>
  <si>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</si>
  <si>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</si>
  <si>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</si>
  <si>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</si>
  <si>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</si>
  <si>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</si>
  <si>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</si>
  <si>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</si>
  <si>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</si>
  <si>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</si>
  <si>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</si>
  <si>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</si>
  <si>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</si>
  <si>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</si>
  <si>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</si>
  <si>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</si>
  <si>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</si>
  <si>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</si>
  <si>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</si>
  <si>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</si>
  <si>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</si>
  <si>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</si>
  <si>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</si>
  <si>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</si>
  <si>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</si>
  <si>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</si>
  <si>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</si>
  <si>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</si>
  <si>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</si>
  <si>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</si>
  <si>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</si>
  <si>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</si>
  <si>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</si>
  <si>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</si>
  <si>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</si>
  <si>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</si>
  <si>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</si>
  <si>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</si>
  <si>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</si>
  <si>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</si>
  <si>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</si>
  <si>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</si>
  <si>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</si>
  <si>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</si>
  <si>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</si>
  <si>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</si>
  <si>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</si>
  <si>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</si>
  <si>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</si>
  <si>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</si>
  <si>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</si>
  <si>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</si>
  <si>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</si>
  <si>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</si>
  <si>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</si>
  <si>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</si>
  <si>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</si>
  <si>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</si>
  <si>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</si>
  <si>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</si>
  <si>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</si>
  <si>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</si>
  <si>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</si>
  <si>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</si>
  <si>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</si>
  <si>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</si>
  <si>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</si>
  <si>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</si>
  <si>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</si>
  <si>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</si>
  <si>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</si>
  <si>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</si>
  <si>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</si>
  <si>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</si>
  <si>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</si>
  <si>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</si>
  <si>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</si>
  <si>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</si>
  <si>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</si>
  <si>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</si>
  <si>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</si>
  <si>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</si>
  <si>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</si>
  <si>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</si>
  <si>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</si>
  <si>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</si>
  <si>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</si>
  <si>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</si>
  <si>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</si>
  <si>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</si>
  <si>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</si>
  <si>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</si>
  <si>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</si>
  <si>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</si>
  <si>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</si>
  <si>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</si>
  <si>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</si>
  <si>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</si>
  <si>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</si>
  <si>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</si>
  <si>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</si>
  <si>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</si>
  <si>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</si>
  <si>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</si>
  <si>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</si>
  <si>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</si>
  <si>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</si>
  <si>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</si>
  <si>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</si>
  <si>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</si>
  <si>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</si>
  <si>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</si>
  <si>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</si>
  <si>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</si>
  <si>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</si>
  <si>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</si>
  <si>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</si>
  <si>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</si>
  <si>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</si>
  <si>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</si>
  <si>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</si>
  <si>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</si>
  <si>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</si>
  <si>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</si>
  <si>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</si>
  <si>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</si>
  <si>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</si>
  <si>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</si>
  <si>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</si>
  <si>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</si>
  <si>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</si>
  <si>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</si>
  <si>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</si>
  <si>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</si>
  <si>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</si>
  <si>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</si>
  <si>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</si>
  <si>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</si>
  <si>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</si>
  <si>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</si>
  <si>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</si>
  <si>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</si>
  <si>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</si>
  <si>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</si>
  <si>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</si>
  <si>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</si>
  <si>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</si>
  <si>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</si>
  <si>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</si>
  <si>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</si>
  <si>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</si>
  <si>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</si>
  <si>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</si>
  <si>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</si>
  <si>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</si>
  <si>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</si>
  <si>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</si>
  <si>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</si>
  <si>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</si>
  <si>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</si>
  <si>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</si>
  <si>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</si>
  <si>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</si>
  <si>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</si>
  <si>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</si>
  <si>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</si>
  <si>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</si>
  <si>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</si>
  <si>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</si>
  <si>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</si>
  <si>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</si>
  <si>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</si>
  <si>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</si>
  <si>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</si>
  <si>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</si>
  <si>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</si>
  <si>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</si>
  <si>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</si>
  <si>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</si>
  <si>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</si>
  <si>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</si>
  <si>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</si>
  <si>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</si>
  <si>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</si>
  <si>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</si>
  <si>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</si>
  <si>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</si>
  <si>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</si>
  <si>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</si>
  <si>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</si>
  <si>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</si>
  <si>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</si>
  <si>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</si>
  <si>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</si>
  <si>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</si>
  <si>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</si>
  <si>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</si>
  <si>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</si>
  <si>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</si>
  <si>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</si>
  <si>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</si>
  <si>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</si>
  <si>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</si>
  <si>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</si>
  <si>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</si>
  <si>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</si>
  <si>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</si>
  <si>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</si>
  <si>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</si>
  <si>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</si>
  <si>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</si>
  <si>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</si>
  <si>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</si>
  <si>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</si>
  <si>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</si>
  <si>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</si>
  <si>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</si>
  <si>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</si>
  <si>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</si>
  <si>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</si>
  <si>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</si>
  <si>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</si>
  <si>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</si>
  <si>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</si>
  <si>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</si>
  <si>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</si>
  <si>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</si>
  <si>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</si>
  <si>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</si>
  <si>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</si>
  <si>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</si>
  <si>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</si>
  <si>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</si>
  <si>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</si>
  <si>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</si>
  <si>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</si>
  <si>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</si>
  <si>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</si>
  <si>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</si>
  <si>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</si>
  <si>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</si>
  <si>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</si>
  <si>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</si>
  <si>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</si>
  <si>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</si>
  <si>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</si>
  <si>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</si>
  <si>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</si>
  <si>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</si>
  <si>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</si>
  <si>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</si>
  <si>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</si>
  <si>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</si>
  <si>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</si>
  <si>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</si>
  <si>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</si>
  <si>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</si>
  <si>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</si>
  <si>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</si>
  <si>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</si>
  <si>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</si>
  <si>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</si>
  <si>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</si>
  <si>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</si>
  <si>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</si>
  <si>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</si>
  <si>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</si>
  <si>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</si>
  <si>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</si>
  <si>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</si>
  <si>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</si>
  <si>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</si>
  <si>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</si>
  <si>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</si>
  <si>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</si>
  <si>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</si>
  <si>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</si>
  <si>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</si>
  <si>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</si>
  <si>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</si>
  <si>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</si>
  <si>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</si>
  <si>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</si>
  <si>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</si>
  <si>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</si>
  <si>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</si>
  <si>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</si>
  <si>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</si>
  <si>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</si>
  <si>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</si>
  <si>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</si>
  <si>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</si>
  <si>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</si>
  <si>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</si>
  <si>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</si>
  <si>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</si>
  <si>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</si>
  <si>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</si>
  <si>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</si>
  <si>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</si>
  <si>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</si>
  <si>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</si>
  <si>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</si>
  <si>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</si>
  <si>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</si>
  <si>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</si>
  <si>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</si>
  <si>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</si>
  <si>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</si>
  <si>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</si>
  <si>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</si>
  <si>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</si>
  <si>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</si>
  <si>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</si>
  <si>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</si>
  <si>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</si>
  <si>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</si>
  <si>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</si>
  <si>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</si>
  <si>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</si>
  <si>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</si>
  <si>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</si>
  <si>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</si>
  <si>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</si>
  <si>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</si>
  <si>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</si>
  <si>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</si>
  <si>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</si>
  <si>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</si>
  <si>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</si>
  <si>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</si>
  <si>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</si>
  <si>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</si>
  <si>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</si>
  <si>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</si>
  <si>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</si>
  <si>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</si>
  <si>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</si>
  <si>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</si>
  <si>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</si>
  <si>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</si>
  <si>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</si>
  <si>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</si>
  <si>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</si>
  <si>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</si>
  <si>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</si>
  <si>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</si>
  <si>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</si>
  <si>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</si>
  <si>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</si>
  <si>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</si>
  <si>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</si>
  <si>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</si>
  <si>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</si>
  <si>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</si>
  <si>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</si>
  <si>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</si>
  <si>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</si>
  <si>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</si>
  <si>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</si>
  <si>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</si>
  <si>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</si>
  <si>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</si>
  <si>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</si>
  <si>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</si>
  <si>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</si>
  <si>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</si>
  <si>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</si>
  <si>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</si>
  <si>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</si>
  <si>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</si>
  <si>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</si>
  <si>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</si>
  <si>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</si>
  <si>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</si>
  <si>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</si>
  <si>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</si>
  <si>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</si>
  <si>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</si>
  <si>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</si>
  <si>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</si>
  <si>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</si>
  <si>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</si>
  <si>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</si>
  <si>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</si>
  <si>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</si>
  <si>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</si>
  <si>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</si>
  <si>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</si>
  <si>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</si>
  <si>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</si>
  <si>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</si>
  <si>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</si>
  <si>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</si>
  <si>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</si>
  <si>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</si>
  <si>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</si>
  <si>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</si>
  <si>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</si>
  <si>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</si>
  <si>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</si>
  <si>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</si>
  <si>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</si>
  <si>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</si>
  <si>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</si>
  <si>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</si>
  <si>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</si>
  <si>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</si>
  <si>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</si>
  <si>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</si>
  <si>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</si>
  <si>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</si>
  <si>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</si>
  <si>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</si>
  <si>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</si>
  <si>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</si>
  <si>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</si>
  <si>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</si>
  <si>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</si>
  <si>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</si>
  <si>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</si>
  <si>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</si>
  <si>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</si>
  <si>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</si>
  <si>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</si>
  <si>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</si>
  <si>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</si>
  <si>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</si>
  <si>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</si>
  <si>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</si>
  <si>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</si>
  <si>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</si>
  <si>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</si>
  <si>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</si>
  <si>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</si>
  <si>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</si>
  <si>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</si>
  <si>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</si>
  <si>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</si>
  <si>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</si>
  <si>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</si>
  <si>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</si>
  <si>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</si>
  <si>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</si>
  <si>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</si>
  <si>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</si>
  <si>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</si>
  <si>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</si>
  <si>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</si>
  <si>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</si>
  <si>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</si>
  <si>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</si>
  <si>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</si>
  <si>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</si>
  <si>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</si>
  <si>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</si>
  <si>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</si>
  <si>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</si>
  <si>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</si>
  <si>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</si>
  <si>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</si>
  <si>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</si>
  <si>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</si>
  <si>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</si>
  <si>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</si>
  <si>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</si>
  <si>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</si>
  <si>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</si>
  <si>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</si>
  <si>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</si>
  <si>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</si>
  <si>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</si>
  <si>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</si>
  <si>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</si>
  <si>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</si>
  <si>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</si>
  <si>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</si>
  <si>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</si>
  <si>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</si>
  <si>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</si>
  <si>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</si>
  <si>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</si>
  <si>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</si>
  <si>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</si>
  <si>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</si>
  <si>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</si>
  <si>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</si>
  <si>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</si>
  <si>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</si>
  <si>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</si>
  <si>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</si>
  <si>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</si>
  <si>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</si>
  <si>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</si>
  <si>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</si>
  <si>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</si>
  <si>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</si>
  <si>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</si>
  <si>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</si>
  <si>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</si>
  <si>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</si>
  <si>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</si>
  <si>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</si>
  <si>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</si>
  <si>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</si>
  <si>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</si>
  <si>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</si>
  <si>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</si>
  <si>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</si>
  <si>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</si>
  <si>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</si>
  <si>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</si>
  <si>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</si>
  <si>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</si>
  <si>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</si>
  <si>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</si>
  <si>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</si>
  <si>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</si>
  <si>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</si>
  <si>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</si>
  <si>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</si>
  <si>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</si>
  <si>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</si>
  <si>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</si>
  <si>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</si>
  <si>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</si>
  <si>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</si>
  <si>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</si>
  <si>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</si>
  <si>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</si>
  <si>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</si>
  <si>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</si>
  <si>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</si>
  <si>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</si>
  <si>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</si>
  <si>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</si>
  <si>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</si>
  <si>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</si>
  <si>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</si>
  <si>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</si>
  <si>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</si>
  <si>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</si>
  <si>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</si>
  <si>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</si>
  <si>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</si>
  <si>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</si>
  <si>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</si>
  <si>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</si>
  <si>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</si>
  <si>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</si>
  <si>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</si>
  <si>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</si>
  <si>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</si>
  <si>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</si>
  <si>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</si>
  <si>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</si>
  <si>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</si>
  <si>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</si>
  <si>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</si>
  <si>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</si>
  <si>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</si>
  <si>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</si>
  <si>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</si>
  <si>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</si>
  <si>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</si>
  <si>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</si>
  <si>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</si>
  <si>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</si>
  <si>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</si>
  <si>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</si>
  <si>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</si>
  <si>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</si>
  <si>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</si>
  <si>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</si>
  <si>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</si>
  <si>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</si>
  <si>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</si>
  <si>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</si>
  <si>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</si>
  <si>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</si>
  <si>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</si>
  <si>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</si>
  <si>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</si>
  <si>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</si>
  <si>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</si>
  <si>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</si>
  <si>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</si>
  <si>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</si>
  <si>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</si>
  <si>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</si>
  <si>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</si>
  <si>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</si>
  <si>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</si>
  <si>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</si>
  <si>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</si>
  <si>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</si>
  <si>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</si>
  <si>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</si>
  <si>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</si>
  <si>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</si>
  <si>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</si>
  <si>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</si>
  <si>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</si>
  <si>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</si>
  <si>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</si>
  <si>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</si>
  <si>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</si>
  <si>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</si>
  <si>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</si>
  <si>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</si>
  <si>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</si>
  <si>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</si>
  <si>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</si>
  <si>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</si>
  <si>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</si>
  <si>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</si>
  <si>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</si>
  <si>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</si>
  <si>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</si>
  <si>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</si>
  <si>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</si>
  <si>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</si>
  <si>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</si>
  <si>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</si>
  <si>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</si>
  <si>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</si>
  <si>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</si>
  <si>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</si>
  <si>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</si>
  <si>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</si>
  <si>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</si>
  <si>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</si>
  <si>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</si>
  <si>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</si>
  <si>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</si>
  <si>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</si>
  <si>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</si>
  <si>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</si>
  <si>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</si>
  <si>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</si>
  <si>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</si>
  <si>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</si>
  <si>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</si>
  <si>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</si>
  <si>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</si>
  <si>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</si>
  <si>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</si>
  <si>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</si>
  <si>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</si>
  <si>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</si>
  <si>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</si>
  <si>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</si>
  <si>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</si>
  <si>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</si>
  <si>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</si>
  <si>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</si>
  <si>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</si>
  <si>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</si>
  <si>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</si>
  <si>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</si>
  <si>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</si>
  <si>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</si>
  <si>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</si>
  <si>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</si>
  <si>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</si>
  <si>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</si>
  <si>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</si>
  <si>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</si>
  <si>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</si>
  <si>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</si>
  <si>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</si>
  <si>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</si>
  <si>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</si>
  <si>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</si>
  <si>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</si>
  <si>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</si>
  <si>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</si>
  <si>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</si>
  <si>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</si>
  <si>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</si>
  <si>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</si>
  <si>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</si>
  <si>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</si>
  <si>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</si>
  <si>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</si>
  <si>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</si>
  <si>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</si>
  <si>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</si>
  <si>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</si>
  <si>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</si>
  <si>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</si>
  <si>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</si>
  <si>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</si>
  <si>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</si>
  <si>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</si>
  <si>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</si>
  <si>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</si>
  <si>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</si>
  <si>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</si>
  <si>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</si>
  <si>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</si>
  <si>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</si>
  <si>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</si>
  <si>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</si>
  <si>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</si>
  <si>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</si>
  <si>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</si>
  <si>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</si>
  <si>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</si>
  <si>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</si>
  <si>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</si>
  <si>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</si>
  <si>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</si>
  <si>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</si>
  <si>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</si>
  <si>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</si>
  <si>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</si>
  <si>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</si>
  <si>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</si>
  <si>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</si>
  <si>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</si>
  <si>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</si>
  <si>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</si>
  <si>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</si>
  <si>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</si>
  <si>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</si>
  <si>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</si>
  <si>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</si>
  <si>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</si>
  <si>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</si>
  <si>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</si>
  <si>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</si>
  <si>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</si>
  <si>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</si>
  <si>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</si>
  <si>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</si>
  <si>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</si>
  <si>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</si>
  <si>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</si>
  <si>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</si>
  <si>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</si>
  <si>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</si>
  <si>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</si>
  <si>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</si>
  <si>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</si>
  <si>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</si>
  <si>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</si>
  <si>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</si>
  <si>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</si>
  <si>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</si>
  <si>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</si>
  <si>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</si>
  <si>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</si>
  <si>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</si>
  <si>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</si>
  <si>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</si>
  <si>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</si>
  <si>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</si>
  <si>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</si>
  <si>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</si>
  <si>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</si>
  <si>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</si>
  <si>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</si>
  <si>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</si>
  <si>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</si>
  <si>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</si>
  <si>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</si>
  <si>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</si>
  <si>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</si>
  <si>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</si>
  <si>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</si>
  <si>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</si>
  <si>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</si>
  <si>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</si>
  <si>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</si>
  <si>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</si>
  <si>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</si>
  <si>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</si>
  <si>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</si>
  <si>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</si>
  <si>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</si>
  <si>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</si>
  <si>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</si>
  <si>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</si>
  <si>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</si>
  <si>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</si>
  <si>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</si>
  <si>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</si>
  <si>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</si>
  <si>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</si>
  <si>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</si>
  <si>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</si>
  <si>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</si>
  <si>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</si>
  <si>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</si>
  <si>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</si>
  <si>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</si>
  <si>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</si>
  <si>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</si>
  <si>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</si>
  <si>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</si>
  <si>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</si>
  <si>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</si>
  <si>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</si>
  <si>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</si>
  <si>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</si>
  <si>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</si>
  <si>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</si>
  <si>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</si>
  <si>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</si>
  <si>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</si>
  <si>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</si>
  <si>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</si>
  <si>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</si>
  <si>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</si>
  <si>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</si>
  <si>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</si>
  <si>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</si>
  <si>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</si>
  <si>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</si>
  <si>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</si>
  <si>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</si>
  <si>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</si>
  <si>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</si>
  <si>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</si>
  <si>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</si>
  <si>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</si>
  <si>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</si>
  <si>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</si>
  <si>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</si>
  <si>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</si>
  <si>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</si>
  <si>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</si>
  <si>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</si>
  <si>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</si>
  <si>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</si>
  <si>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</si>
  <si>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</si>
  <si>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</si>
  <si>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</si>
  <si>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</si>
  <si>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</si>
  <si>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</si>
  <si>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</si>
  <si>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</si>
  <si>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</si>
  <si>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</si>
  <si>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</si>
  <si>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</si>
  <si>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</si>
  <si>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</si>
  <si>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</si>
  <si>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</si>
  <si>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</si>
  <si>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</si>
  <si>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</si>
  <si>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</si>
  <si>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</si>
  <si>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</si>
  <si>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</si>
  <si>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</si>
  <si>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</si>
  <si>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</si>
  <si>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</si>
  <si>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</si>
  <si>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</si>
  <si>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</si>
  <si>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</si>
  <si>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</si>
  <si>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</si>
  <si>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</si>
  <si>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</si>
  <si>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</si>
  <si>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</si>
  <si>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</si>
  <si>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</si>
  <si>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</si>
  <si>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</si>
  <si>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</si>
  <si>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</si>
  <si>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</si>
  <si>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</si>
  <si>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</si>
  <si>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</si>
  <si>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</si>
  <si>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</si>
  <si>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</si>
  <si>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</si>
  <si>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</si>
  <si>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</si>
  <si>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</si>
  <si>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</si>
  <si>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</si>
  <si>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</si>
  <si>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</si>
  <si>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</si>
  <si>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</si>
  <si>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</si>
  <si>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</si>
  <si>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</si>
  <si>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</si>
  <si>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</si>
  <si>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</si>
  <si>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</si>
  <si>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</si>
  <si>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</si>
  <si>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</si>
  <si>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</si>
  <si>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</si>
  <si>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</si>
  <si>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</si>
  <si>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</si>
  <si>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</si>
  <si>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</si>
  <si>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</si>
  <si>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</si>
  <si>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</si>
  <si>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</si>
  <si>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</si>
  <si>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</si>
  <si>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</si>
  <si>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</si>
  <si>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</si>
  <si>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</si>
  <si>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</si>
  <si>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</si>
  <si>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</si>
  <si>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</si>
  <si>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</si>
  <si>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</si>
  <si>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</si>
  <si>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</si>
  <si>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</si>
  <si>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</si>
  <si>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</si>
  <si>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</si>
  <si>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</si>
  <si>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</si>
  <si>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</si>
  <si>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</si>
  <si>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</si>
  <si>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</si>
  <si>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</si>
  <si>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</si>
  <si>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</si>
  <si>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</si>
  <si>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</si>
  <si>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</si>
  <si>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</si>
  <si>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</si>
  <si>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</si>
  <si>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</si>
  <si>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</si>
  <si>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</si>
  <si>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</si>
  <si>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</si>
  <si>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</si>
  <si>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</si>
  <si>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</si>
  <si>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</si>
  <si>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</si>
  <si>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</si>
  <si>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</si>
  <si>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</si>
  <si>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</si>
  <si>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</si>
  <si>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</si>
  <si>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</si>
  <si>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</si>
  <si>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</si>
  <si>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</si>
  <si>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</si>
  <si>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</si>
  <si>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</si>
  <si>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</si>
  <si>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</si>
  <si>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</si>
  <si>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</si>
  <si>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</si>
  <si>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</si>
  <si>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</si>
  <si>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</si>
  <si>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</si>
  <si>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</si>
  <si>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</si>
  <si>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</si>
  <si>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</si>
  <si>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</si>
  <si>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</si>
  <si>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</si>
  <si>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</si>
  <si>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</si>
  <si>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</si>
  <si>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</si>
  <si>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</si>
  <si>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</si>
  <si>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</si>
  <si>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</si>
  <si>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</si>
  <si>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</si>
  <si>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</si>
  <si>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</si>
  <si>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</si>
  <si>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</si>
  <si>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</si>
  <si>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</si>
  <si>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</si>
  <si>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</si>
  <si>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</si>
  <si>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</si>
  <si>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</si>
  <si>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</si>
  <si>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</si>
  <si>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</si>
  <si>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</si>
  <si>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</si>
  <si>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</si>
  <si>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</si>
  <si>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</si>
  <si>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</si>
  <si>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</si>
  <si>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</si>
  <si>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</si>
  <si>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</si>
  <si>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</si>
  <si>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</si>
  <si>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</si>
  <si>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</si>
  <si>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</si>
  <si>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</si>
  <si>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</si>
  <si>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</si>
  <si>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</si>
  <si>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</si>
  <si>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</si>
  <si>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</si>
  <si>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</si>
  <si>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</si>
  <si>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</si>
  <si>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</si>
  <si>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</si>
  <si>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</si>
  <si>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</si>
  <si>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</si>
  <si>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</si>
  <si>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</si>
  <si>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</si>
  <si>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</si>
  <si>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</si>
  <si>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</si>
  <si>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</si>
  <si>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</si>
  <si>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</si>
  <si>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</si>
  <si>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</si>
  <si>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</si>
  <si>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</si>
  <si>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</si>
  <si>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</si>
  <si>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</si>
  <si>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</si>
  <si>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</si>
  <si>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</si>
  <si>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</si>
  <si>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</si>
  <si>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</si>
  <si>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</si>
  <si>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</si>
  <si>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</si>
  <si>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</si>
  <si>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</si>
  <si>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</si>
  <si>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</si>
  <si>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</si>
  <si>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</si>
  <si>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</si>
  <si>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</si>
  <si>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</si>
  <si>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</si>
  <si>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</si>
  <si>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</si>
  <si>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</si>
  <si>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</si>
  <si>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</si>
  <si>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</si>
  <si>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</si>
  <si>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</si>
  <si>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</si>
  <si>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</si>
  <si>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</si>
  <si>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</si>
  <si>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</si>
  <si>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</si>
  <si>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</si>
  <si>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</si>
  <si>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</si>
  <si>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</si>
  <si>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</si>
  <si>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</si>
  <si>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</si>
  <si>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</si>
  <si>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</si>
  <si>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</si>
  <si>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</si>
  <si>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</si>
  <si>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</si>
  <si>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</si>
  <si>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</si>
  <si>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</si>
  <si>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</si>
  <si>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</si>
  <si>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</si>
  <si>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</si>
  <si>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</si>
  <si>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</si>
  <si>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</si>
  <si>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</si>
  <si>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</si>
  <si>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</si>
  <si>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</si>
  <si>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</si>
  <si>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</si>
  <si>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</si>
  <si>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</si>
  <si>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</si>
  <si>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</si>
  <si>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</si>
  <si>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</si>
  <si>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</si>
  <si>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</si>
  <si>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</si>
  <si>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</si>
  <si>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</si>
  <si>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</si>
  <si>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</si>
  <si>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</si>
  <si>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</si>
  <si>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</si>
  <si>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</si>
  <si>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</si>
  <si>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</si>
  <si>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</si>
  <si>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</si>
  <si>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</si>
  <si>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</si>
  <si>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</si>
  <si>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</si>
  <si>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</si>
  <si>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</si>
  <si>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</si>
  <si>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</si>
  <si>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</si>
  <si>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</si>
  <si>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</si>
  <si>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</si>
  <si>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</si>
  <si>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</si>
  <si>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</si>
  <si>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</si>
  <si>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</si>
  <si>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</si>
  <si>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</si>
  <si>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</si>
  <si>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</si>
  <si>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</si>
  <si>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</si>
  <si>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</si>
  <si>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</si>
  <si>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</si>
  <si>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</si>
  <si>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</si>
  <si>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</si>
  <si>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</si>
  <si>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</si>
  <si>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</si>
  <si>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</si>
  <si>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</si>
  <si>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</si>
  <si>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</si>
  <si>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</si>
  <si>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</si>
  <si>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</si>
  <si>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</si>
  <si>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</si>
  <si>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</si>
  <si>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</si>
  <si>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</si>
  <si>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</si>
  <si>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</si>
  <si>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</si>
  <si>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</si>
  <si>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</si>
  <si>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</si>
  <si>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</si>
  <si>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</si>
  <si>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</si>
  <si>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</si>
  <si>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</si>
  <si>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</si>
  <si>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</si>
  <si>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</si>
  <si>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</si>
  <si>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</si>
  <si>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</si>
  <si>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</si>
  <si>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</si>
  <si>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</si>
  <si>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</si>
  <si>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</si>
  <si>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</si>
  <si>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</si>
  <si>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</si>
  <si>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</si>
  <si>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</si>
  <si>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</si>
  <si>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</si>
  <si>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</si>
  <si>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</si>
  <si>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</si>
  <si>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</si>
  <si>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</si>
  <si>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</si>
  <si>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</si>
  <si>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</si>
  <si>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</si>
  <si>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</si>
  <si>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</si>
  <si>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</si>
  <si>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</si>
  <si>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</si>
  <si>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</si>
  <si>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</si>
  <si>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</si>
  <si>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</si>
  <si>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</si>
  <si>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</si>
  <si>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</si>
  <si>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</si>
  <si>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</si>
  <si>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</si>
  <si>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</si>
  <si>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</si>
  <si>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</si>
  <si>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</si>
  <si>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</si>
  <si>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</si>
  <si>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</si>
  <si>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</si>
  <si>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</si>
  <si>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</si>
  <si>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</si>
  <si>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</si>
  <si>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</si>
  <si>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</si>
  <si>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</si>
  <si>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</si>
  <si>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</si>
  <si>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</si>
  <si>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</si>
  <si>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</si>
  <si>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</si>
  <si>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</si>
  <si>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</si>
  <si>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</si>
  <si>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</si>
  <si>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</si>
  <si>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</si>
  <si>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</si>
  <si>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</si>
  <si>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</si>
  <si>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</si>
  <si>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</si>
  <si>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</si>
  <si>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</si>
  <si>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</si>
  <si>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</si>
  <si>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</si>
  <si>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</si>
  <si>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</si>
  <si>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</si>
  <si>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</si>
  <si>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</si>
  <si>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</si>
  <si>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</si>
  <si>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</si>
  <si>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</si>
  <si>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</si>
  <si>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</si>
  <si>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</si>
  <si>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</si>
  <si>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</si>
  <si>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</si>
  <si>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</si>
  <si>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</si>
  <si>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</si>
  <si>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</si>
  <si>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</si>
  <si>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</si>
  <si>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</si>
  <si>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</si>
  <si>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</si>
  <si>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</si>
  <si>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</si>
  <si>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</si>
  <si>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</si>
  <si>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</si>
  <si>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</si>
  <si>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</si>
  <si>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</si>
  <si>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</si>
  <si>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</si>
  <si>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</si>
  <si>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</si>
  <si>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</si>
  <si>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</si>
  <si>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</si>
  <si>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</si>
  <si>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</si>
  <si>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</si>
  <si>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</si>
  <si>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</si>
  <si>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</si>
  <si>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</si>
  <si>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</si>
  <si>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</si>
  <si>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</si>
  <si>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</si>
  <si>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</si>
  <si>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</si>
  <si>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</si>
  <si>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</si>
  <si>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</si>
  <si>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</si>
  <si>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</si>
  <si>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</si>
  <si>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</si>
  <si>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</si>
  <si>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</si>
  <si>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</si>
  <si>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</si>
  <si>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</si>
  <si>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</si>
  <si>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</si>
  <si>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</si>
  <si>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</si>
  <si>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</si>
  <si>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</si>
  <si>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</si>
  <si>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</si>
  <si>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</si>
  <si>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</si>
  <si>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</si>
  <si>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</si>
  <si>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</si>
  <si>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</si>
  <si>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</si>
  <si>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</si>
  <si>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</si>
  <si>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</si>
  <si>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</si>
  <si>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</si>
  <si>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</si>
  <si>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</si>
  <si>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</si>
  <si>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</si>
  <si>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</si>
  <si>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</si>
  <si>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</si>
  <si>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</si>
  <si>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</si>
  <si>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</si>
  <si>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</si>
  <si>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</si>
  <si>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</si>
  <si>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</si>
  <si>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</si>
  <si>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</si>
  <si>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</si>
  <si>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</si>
  <si>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</si>
  <si>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</si>
  <si>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</si>
  <si>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</si>
  <si>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</si>
  <si>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</si>
  <si>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</si>
  <si>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</si>
  <si>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</si>
  <si>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</si>
  <si>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</si>
  <si>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</si>
  <si>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</si>
  <si>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</si>
  <si>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</si>
  <si>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</si>
  <si>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</si>
  <si>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</si>
  <si>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</si>
  <si>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</si>
  <si>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</si>
  <si>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</si>
  <si>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</si>
  <si>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</si>
  <si>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</si>
  <si>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</si>
  <si>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</si>
  <si>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</si>
  <si>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</si>
  <si>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</si>
  <si>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</si>
  <si>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</si>
  <si>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</si>
  <si>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</si>
  <si>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</si>
  <si>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</si>
  <si>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</si>
  <si>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</si>
  <si>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</si>
  <si>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</si>
  <si>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</si>
  <si>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</si>
  <si>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</si>
  <si>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</si>
  <si>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</si>
  <si>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</si>
  <si>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</si>
  <si>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</si>
  <si>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</si>
  <si>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</si>
  <si>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</si>
  <si>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</si>
  <si>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</si>
  <si>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</si>
  <si>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</si>
  <si>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</si>
  <si>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</si>
  <si>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</si>
  <si>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</si>
  <si>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</si>
  <si>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</si>
  <si>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</si>
  <si>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</si>
  <si>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</si>
  <si>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</si>
  <si>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</si>
  <si>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</si>
  <si>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</si>
  <si>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</si>
  <si>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</si>
  <si>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</si>
  <si>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</si>
  <si>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</si>
  <si>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</si>
  <si>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</si>
  <si>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</si>
  <si>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</si>
  <si>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</si>
  <si>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</si>
  <si>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</si>
  <si>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</si>
  <si>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</si>
  <si>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</si>
  <si>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</si>
  <si>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</si>
  <si>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</si>
  <si>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</si>
  <si>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</si>
  <si>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</si>
  <si>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</si>
  <si>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</si>
  <si>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</si>
  <si>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</si>
  <si>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</si>
  <si>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</si>
  <si>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</si>
  <si>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</si>
  <si>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</si>
  <si>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</si>
  <si>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</si>
  <si>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</si>
  <si>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</si>
  <si>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</si>
  <si>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</si>
  <si>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</si>
  <si>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</si>
  <si>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</si>
  <si>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</si>
  <si>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</si>
  <si>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</si>
  <si>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</si>
  <si>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</si>
  <si>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</si>
  <si>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</si>
  <si>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</si>
  <si>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</si>
  <si>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</si>
  <si>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</si>
  <si>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</si>
  <si>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</si>
  <si>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</si>
  <si>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</si>
  <si>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</si>
  <si>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</si>
  <si>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</si>
  <si>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</si>
  <si>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</si>
  <si>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</si>
  <si>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</si>
  <si>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</si>
  <si>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</si>
  <si>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</si>
  <si>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</si>
  <si>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</si>
  <si>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</si>
  <si>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</si>
  <si>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</si>
  <si>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</si>
  <si>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</si>
  <si>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</si>
  <si>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</si>
  <si>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</si>
  <si>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</si>
  <si>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</si>
  <si>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</si>
  <si>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</si>
  <si>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</si>
  <si>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</si>
  <si>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</si>
  <si>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</si>
  <si>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</si>
  <si>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</si>
  <si>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</si>
  <si>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</si>
  <si>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</si>
  <si>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</si>
  <si>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</si>
  <si>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</si>
  <si>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</si>
  <si>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</si>
  <si>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</si>
  <si>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</si>
  <si>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</si>
  <si>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</si>
  <si>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</si>
  <si>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</si>
  <si>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</si>
  <si>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</si>
  <si>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</si>
  <si>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</si>
  <si>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</si>
  <si>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</si>
  <si>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</si>
  <si>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</si>
  <si>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</si>
  <si>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</si>
  <si>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</si>
  <si>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</si>
  <si>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</si>
  <si>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</si>
  <si>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</si>
  <si>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</si>
  <si>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</si>
  <si>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</si>
  <si>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</si>
  <si>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</si>
  <si>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</si>
  <si>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</si>
  <si>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</si>
  <si>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</si>
  <si>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</si>
  <si>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</si>
  <si>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</si>
  <si>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</si>
  <si>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</si>
  <si>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</si>
  <si>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</si>
  <si>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</si>
  <si>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</si>
  <si>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</si>
  <si>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</si>
  <si>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</si>
  <si>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</si>
  <si>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</si>
  <si>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</si>
  <si>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</si>
  <si>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</si>
  <si>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</si>
  <si>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</si>
  <si>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</si>
  <si>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</si>
  <si>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</si>
  <si>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</si>
  <si>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</si>
  <si>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</si>
  <si>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</si>
  <si>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</si>
  <si>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</si>
  <si>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</si>
  <si>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</si>
  <si>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</si>
  <si>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</si>
  <si>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</si>
  <si>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</si>
  <si>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</si>
  <si>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</si>
  <si>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</si>
  <si>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</si>
  <si>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</si>
  <si>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</si>
  <si>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</si>
  <si>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</si>
  <si>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</si>
  <si>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</si>
  <si>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</si>
  <si>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</si>
  <si>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</si>
  <si>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</si>
  <si>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</si>
  <si>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</si>
  <si>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</si>
  <si>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</si>
  <si>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</si>
  <si>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</si>
  <si>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</si>
  <si>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</si>
  <si>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</si>
  <si>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</si>
  <si>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</si>
  <si>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</si>
  <si>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</si>
  <si>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</si>
  <si>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</si>
  <si>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</si>
  <si>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</si>
  <si>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</si>
  <si>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</si>
  <si>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</si>
  <si>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</si>
  <si>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</si>
  <si>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</si>
  <si>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</si>
  <si>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</si>
  <si>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</si>
  <si>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</si>
  <si>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</si>
  <si>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</si>
  <si>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</si>
  <si>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</si>
  <si>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</si>
  <si>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</si>
  <si>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</si>
  <si>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</si>
  <si>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</si>
  <si>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</si>
  <si>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</si>
  <si>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</si>
  <si>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</si>
  <si>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</si>
  <si>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</si>
  <si>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</si>
  <si>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</si>
  <si>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</si>
  <si>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</si>
  <si>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</si>
  <si>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</si>
  <si>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</si>
  <si>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</si>
  <si>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</si>
  <si>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</si>
  <si>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</si>
  <si>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</si>
  <si>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</si>
  <si>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</si>
  <si>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</si>
  <si>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</si>
  <si>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</si>
  <si>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</si>
  <si>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</si>
  <si>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</si>
  <si>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</si>
  <si>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</si>
  <si>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</si>
  <si>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</si>
  <si>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</si>
  <si>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</si>
  <si>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</si>
  <si>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</si>
  <si>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</si>
  <si>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</si>
  <si>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</si>
  <si>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</si>
  <si>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</si>
  <si>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</si>
  <si>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</si>
  <si>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</si>
  <si>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</si>
  <si>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</si>
  <si>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</si>
  <si>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</si>
  <si>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</si>
  <si>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</si>
  <si>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</si>
  <si>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</si>
  <si>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</si>
  <si>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</si>
  <si>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</si>
  <si>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</si>
  <si>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</si>
  <si>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</si>
  <si>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</si>
  <si>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</si>
  <si>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</si>
  <si>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</si>
  <si>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</si>
  <si>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</si>
  <si>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</si>
  <si>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</si>
  <si>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</si>
  <si>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</si>
  <si>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</si>
  <si>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</si>
  <si>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</si>
  <si>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</si>
  <si>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</si>
  <si>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</si>
  <si>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</si>
  <si>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</si>
  <si>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</si>
  <si>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</si>
  <si>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</si>
  <si>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</si>
  <si>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</si>
  <si>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</si>
  <si>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</si>
  <si>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</si>
  <si>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</si>
  <si>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</si>
  <si>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</si>
  <si>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</si>
  <si>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</si>
  <si>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</si>
  <si>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</si>
  <si>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</si>
  <si>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</si>
  <si>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</si>
  <si>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</si>
  <si>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</si>
  <si>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</si>
  <si>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</si>
  <si>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</si>
  <si>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</si>
  <si>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</si>
  <si>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</si>
  <si>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</si>
  <si>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</si>
  <si>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</si>
  <si>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</si>
  <si>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</si>
  <si>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</si>
  <si>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</si>
  <si>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</si>
  <si>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</si>
  <si>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</si>
  <si>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</si>
  <si>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</si>
  <si>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</si>
  <si>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</si>
  <si>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</si>
  <si>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</si>
  <si>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</si>
  <si>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</si>
  <si>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</si>
  <si>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</si>
  <si>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</si>
  <si>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</si>
  <si>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</si>
  <si>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</si>
  <si>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</si>
  <si>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</si>
  <si>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</si>
  <si>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</si>
  <si>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</si>
  <si>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</si>
  <si>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</si>
  <si>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</si>
  <si>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</si>
  <si>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</si>
  <si>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</si>
  <si>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</si>
  <si>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</si>
  <si>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</si>
  <si>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</si>
  <si>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</si>
  <si>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</si>
  <si>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</si>
  <si>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</si>
  <si>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</si>
  <si>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</si>
  <si>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</si>
  <si>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</si>
  <si>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</si>
  <si>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</si>
  <si>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</si>
  <si>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</si>
  <si>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</si>
  <si>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</si>
  <si>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</si>
  <si>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</si>
  <si>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</si>
  <si>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</si>
  <si>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</si>
  <si>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</si>
  <si>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</si>
  <si>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</si>
  <si>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</si>
  <si>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</si>
  <si>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</si>
  <si>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</si>
  <si>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</si>
  <si>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</si>
  <si>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</si>
  <si>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</si>
  <si>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</si>
  <si>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</si>
  <si>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</si>
  <si>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</si>
  <si>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</si>
  <si>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</si>
  <si>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</si>
  <si>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</si>
  <si>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</si>
  <si>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</si>
  <si>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</si>
  <si>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</si>
  <si>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</si>
  <si>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</si>
  <si>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</si>
  <si>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</si>
  <si>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</si>
  <si>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</si>
  <si>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</si>
  <si>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</si>
  <si>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</si>
  <si>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</si>
  <si>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</si>
  <si>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</si>
  <si>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</si>
  <si>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</si>
  <si>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</si>
  <si>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</si>
  <si>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</si>
  <si>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</si>
  <si>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</si>
  <si>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</si>
  <si>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</si>
  <si>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</si>
  <si>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</si>
  <si>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</si>
  <si>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</si>
  <si>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</si>
  <si>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</si>
  <si>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</si>
  <si>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</si>
  <si>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</si>
  <si>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</si>
  <si>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</si>
  <si>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</si>
  <si>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</si>
  <si>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</si>
  <si>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</si>
  <si>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</si>
  <si>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</si>
  <si>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</si>
  <si>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</si>
  <si>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</si>
  <si>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</si>
  <si>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</si>
  <si>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</si>
  <si>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</si>
  <si>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</si>
  <si>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</si>
  <si>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</si>
  <si>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</si>
  <si>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</si>
  <si>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</si>
  <si>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</si>
  <si>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</si>
  <si>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</si>
  <si>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</si>
  <si>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</si>
  <si>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</si>
  <si>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</si>
  <si>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</si>
  <si>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</si>
  <si>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</si>
  <si>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</si>
  <si>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</si>
  <si>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</si>
  <si>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</si>
  <si>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</si>
  <si>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</si>
  <si>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</si>
  <si>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</si>
  <si>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</si>
  <si>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</si>
  <si>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</si>
  <si>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</si>
  <si>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</si>
  <si>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</si>
  <si>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</si>
  <si>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</si>
  <si>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</si>
  <si>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</si>
  <si>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</si>
  <si>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</si>
  <si>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</si>
  <si>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</si>
  <si>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</si>
  <si>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</si>
  <si>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</si>
  <si>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</si>
  <si>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</si>
  <si>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</si>
  <si>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</si>
  <si>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</si>
  <si>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</si>
  <si>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</si>
  <si>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</si>
  <si>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</si>
  <si>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</si>
  <si>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</si>
  <si>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</si>
  <si>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</si>
  <si>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</si>
  <si>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</si>
  <si>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</si>
  <si>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</si>
  <si>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</si>
  <si>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</si>
  <si>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</si>
  <si>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</si>
  <si>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</si>
  <si>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</si>
  <si>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</si>
  <si>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</si>
  <si>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</si>
  <si>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</si>
  <si>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</si>
  <si>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</si>
  <si>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</si>
  <si>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</si>
  <si>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</si>
  <si>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</si>
  <si>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</si>
  <si>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</si>
  <si>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</si>
  <si>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</si>
  <si>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</si>
  <si>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</si>
  <si>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</si>
  <si>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</si>
  <si>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</si>
  <si>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</si>
  <si>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</si>
  <si>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</si>
  <si>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</si>
  <si>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</si>
  <si>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</si>
  <si>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</si>
  <si>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</si>
  <si>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</si>
  <si>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</si>
  <si>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</si>
  <si>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</si>
  <si>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</si>
  <si>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</si>
  <si>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</si>
  <si>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</si>
  <si>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</si>
  <si>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</si>
  <si>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</si>
  <si>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</si>
  <si>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</si>
  <si>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</si>
  <si>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</si>
  <si>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</si>
  <si>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</si>
  <si>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</si>
  <si>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</si>
  <si>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</si>
  <si>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</si>
  <si>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</si>
  <si>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</si>
  <si>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</si>
  <si>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</si>
  <si>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</si>
  <si>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</si>
  <si>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</si>
  <si>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</si>
  <si>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</si>
  <si>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</si>
  <si>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</si>
  <si>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</si>
  <si>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</si>
  <si>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</si>
  <si>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</si>
  <si>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</si>
  <si>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</si>
  <si>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</si>
  <si>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</si>
  <si>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</si>
  <si>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</si>
  <si>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</si>
  <si>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</si>
  <si>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</si>
  <si>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</si>
  <si>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</si>
  <si>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</si>
  <si>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</si>
  <si>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</si>
  <si>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</si>
  <si>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</si>
  <si>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</si>
  <si>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</si>
  <si>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</si>
  <si>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</si>
  <si>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</si>
  <si>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</si>
  <si>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</si>
  <si>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</si>
  <si>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</si>
  <si>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</si>
  <si>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</si>
  <si>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</si>
  <si>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</si>
  <si>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</si>
  <si>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</si>
  <si>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</si>
  <si>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</si>
  <si>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</si>
  <si>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</si>
  <si>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</si>
  <si>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</si>
  <si>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</si>
  <si>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</si>
  <si>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</si>
  <si>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</si>
  <si>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</si>
  <si>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</si>
  <si>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</si>
  <si>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</si>
  <si>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</si>
  <si>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</si>
  <si>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</si>
  <si>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</si>
  <si>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</si>
  <si>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</si>
  <si>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</si>
  <si>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</si>
  <si>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</si>
  <si>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</si>
  <si>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</si>
  <si>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</si>
  <si>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</si>
  <si>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</si>
  <si>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</si>
  <si>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</si>
  <si>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</si>
  <si>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</si>
  <si>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</si>
  <si>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</si>
  <si>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</si>
  <si>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</si>
  <si>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</si>
  <si>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</si>
  <si>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</si>
  <si>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</si>
  <si>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</si>
  <si>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</si>
  <si>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</si>
  <si>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</si>
  <si>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</si>
  <si>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</si>
  <si>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</si>
  <si>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</si>
  <si>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</si>
  <si>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</si>
  <si>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</si>
  <si>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</si>
  <si>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</si>
  <si>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</si>
  <si>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</si>
  <si>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</si>
  <si>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</si>
  <si>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</si>
  <si>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</si>
  <si>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</si>
  <si>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</si>
  <si>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</si>
  <si>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</si>
  <si>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</si>
  <si>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</si>
  <si>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</si>
  <si>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</si>
  <si>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</si>
  <si>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</si>
  <si>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</si>
  <si>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</si>
  <si>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</si>
  <si>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</si>
  <si>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</si>
  <si>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</si>
  <si>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</si>
  <si>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</si>
  <si>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</si>
  <si>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</si>
  <si>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</si>
  <si>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</si>
  <si>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</si>
  <si>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</si>
  <si>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</si>
  <si>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</si>
  <si>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</si>
  <si>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</si>
  <si>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</si>
  <si>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</si>
  <si>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</si>
  <si>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</si>
  <si>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</si>
  <si>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</si>
  <si>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</si>
  <si>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</si>
  <si>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</si>
  <si>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</si>
  <si>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</si>
  <si>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</si>
  <si>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</si>
  <si>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</si>
  <si>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</si>
  <si>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</si>
  <si>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</si>
  <si>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</si>
  <si>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</si>
  <si>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</si>
  <si>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</si>
  <si>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</si>
  <si>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</si>
  <si>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</si>
  <si>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</si>
  <si>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</si>
  <si>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</si>
  <si>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</si>
  <si>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</si>
  <si>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</si>
  <si>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</si>
  <si>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</si>
  <si>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</si>
  <si>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</si>
  <si>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</si>
  <si>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</si>
  <si>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</si>
  <si>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</si>
  <si>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</si>
  <si>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</si>
  <si>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</si>
  <si>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</si>
  <si>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</si>
  <si>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</si>
  <si>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</si>
  <si>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</si>
  <si>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</si>
  <si>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</si>
  <si>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</si>
  <si>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</si>
  <si>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</si>
  <si>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</si>
  <si>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</si>
  <si>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</si>
  <si>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</si>
  <si>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</si>
  <si>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</si>
  <si>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</si>
  <si>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</si>
  <si>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</si>
  <si>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</si>
  <si>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</si>
  <si>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</si>
  <si>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</si>
  <si>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</si>
  <si>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</si>
  <si>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</si>
  <si>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</si>
  <si>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</si>
  <si>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</si>
  <si>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</si>
  <si>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</si>
  <si>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</si>
  <si>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</si>
  <si>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</si>
  <si>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</si>
  <si>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</si>
  <si>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</si>
  <si>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</si>
  <si>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</si>
  <si>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</si>
  <si>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</si>
  <si>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</si>
  <si>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</si>
  <si>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</si>
  <si>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</si>
  <si>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</si>
  <si>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</si>
  <si>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</si>
  <si>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</si>
  <si>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</si>
  <si>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</si>
  <si>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</si>
  <si>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</si>
  <si>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</si>
  <si>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</si>
  <si>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</si>
  <si>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</si>
  <si>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</si>
  <si>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</si>
  <si>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</si>
  <si>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</si>
  <si>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</si>
  <si>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</si>
  <si>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</si>
  <si>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</si>
  <si>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</si>
  <si>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</si>
  <si>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</si>
  <si>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</si>
  <si>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</si>
  <si>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</si>
  <si>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</si>
  <si>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</si>
  <si>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</si>
  <si>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</si>
  <si>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</si>
  <si>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</si>
  <si>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</si>
  <si>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</si>
  <si>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</si>
  <si>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</si>
  <si>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</si>
  <si>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</si>
  <si>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</si>
  <si>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</si>
  <si>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</si>
  <si>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</si>
  <si>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</si>
  <si>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</si>
  <si>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</si>
  <si>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</si>
  <si>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</si>
  <si>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</si>
  <si>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</si>
  <si>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</si>
  <si>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</si>
  <si>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</si>
  <si>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</si>
  <si>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</si>
  <si>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</si>
  <si>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</si>
  <si>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</si>
  <si>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</si>
  <si>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</si>
  <si>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</si>
  <si>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</si>
  <si>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</si>
  <si>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</si>
  <si>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</si>
  <si>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</si>
  <si>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</si>
  <si>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</si>
  <si>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</si>
  <si>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</si>
  <si>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</si>
  <si>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</si>
  <si>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</si>
  <si>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</si>
  <si>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</si>
  <si>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</si>
  <si>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</si>
  <si>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</si>
  <si>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</si>
  <si>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</si>
  <si>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</si>
  <si>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</si>
  <si>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</si>
  <si>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</si>
  <si>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</si>
  <si>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</si>
  <si>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</si>
  <si>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</si>
  <si>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</si>
  <si>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</si>
  <si>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</si>
  <si>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</si>
  <si>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</si>
  <si>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</si>
  <si>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</si>
  <si>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</si>
  <si>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</si>
  <si>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</si>
  <si>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</si>
  <si>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</si>
  <si>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</si>
  <si>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</si>
  <si>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</si>
  <si>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</si>
  <si>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</si>
  <si>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</si>
  <si>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</si>
  <si>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</si>
  <si>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</si>
  <si>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</si>
  <si>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</si>
  <si>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</si>
  <si>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</si>
  <si>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</si>
  <si>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</si>
  <si>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</si>
  <si>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</si>
  <si>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</si>
  <si>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</si>
  <si>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</si>
  <si>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</si>
  <si>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</si>
  <si>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</si>
  <si>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</si>
  <si>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</si>
  <si>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</si>
  <si>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</si>
  <si>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</si>
  <si>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</si>
  <si>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</si>
  <si>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</si>
  <si>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</si>
  <si>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</si>
  <si>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</si>
  <si>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</si>
  <si>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</si>
  <si>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</si>
  <si>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</si>
  <si>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</si>
  <si>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</si>
  <si>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</si>
  <si>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</si>
  <si>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</si>
  <si>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</si>
  <si>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</si>
  <si>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</si>
  <si>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</si>
  <si>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</si>
  <si>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</si>
  <si>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</si>
  <si>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</si>
  <si>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</si>
  <si>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</si>
  <si>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</si>
  <si>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</si>
  <si>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</si>
  <si>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</si>
  <si>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</si>
  <si>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</si>
  <si>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</si>
  <si>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</si>
  <si>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</si>
  <si>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</si>
  <si>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</si>
  <si>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</si>
  <si>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</si>
  <si>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</si>
  <si>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</si>
  <si>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</si>
  <si>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</si>
  <si>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</si>
  <si>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</si>
  <si>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</si>
  <si>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</si>
  <si>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</si>
  <si>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</si>
  <si>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</si>
  <si>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</si>
  <si>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</si>
  <si>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</si>
  <si>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</si>
  <si>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</si>
  <si>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</si>
  <si>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</si>
  <si>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</si>
  <si>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</si>
  <si>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</si>
  <si>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</si>
  <si>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</si>
  <si>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</si>
  <si>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</si>
  <si>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</si>
  <si>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</si>
  <si>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</si>
  <si>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</si>
  <si>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</si>
  <si>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</si>
  <si>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</si>
  <si>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</si>
  <si>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</si>
  <si>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</si>
  <si>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</si>
  <si>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</si>
  <si>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</si>
  <si>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</si>
  <si>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</si>
  <si>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</si>
  <si>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</si>
  <si>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</si>
  <si>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</si>
  <si>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</si>
  <si>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</si>
  <si>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</si>
  <si>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</si>
  <si>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</si>
  <si>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</si>
  <si>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</si>
  <si>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</si>
  <si>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</si>
  <si>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</si>
  <si>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</si>
  <si>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</si>
  <si>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</si>
  <si>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</si>
  <si>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</si>
  <si>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</si>
  <si>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</si>
  <si>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</si>
  <si>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</si>
  <si>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</si>
  <si>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</si>
  <si>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</si>
  <si>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</si>
  <si>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</si>
  <si>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</si>
  <si>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</si>
  <si>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</si>
  <si>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</si>
  <si>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</si>
  <si>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</si>
  <si>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</si>
  <si>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</si>
  <si>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</si>
  <si>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</si>
  <si>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</si>
  <si>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</si>
  <si>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</si>
  <si>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</si>
  <si>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</si>
  <si>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</si>
  <si>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</si>
  <si>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</si>
  <si>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</si>
  <si>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</si>
  <si>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</si>
  <si>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</si>
  <si>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</si>
  <si>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</si>
  <si>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</si>
  <si>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</si>
  <si>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</si>
  <si>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</si>
  <si>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</si>
  <si>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</si>
  <si>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</si>
  <si>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</si>
  <si>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</si>
  <si>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</si>
  <si>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</si>
  <si>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</si>
  <si>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</si>
  <si>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</si>
  <si>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</si>
  <si>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</si>
  <si>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</si>
  <si>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</si>
  <si>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</si>
  <si>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</si>
  <si>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</si>
  <si>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</si>
  <si>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</si>
  <si>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</si>
  <si>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</si>
  <si>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</si>
  <si>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</si>
  <si>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</si>
  <si>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</si>
  <si>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</si>
  <si>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</si>
  <si>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</si>
  <si>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</si>
  <si>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</si>
  <si>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</si>
  <si>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</si>
  <si>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</si>
  <si>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</si>
  <si>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</si>
  <si>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</si>
  <si>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</si>
  <si>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</si>
  <si>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</si>
  <si>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</si>
  <si>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</si>
  <si>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</si>
  <si>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</si>
  <si>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</si>
  <si>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</si>
  <si>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</si>
  <si>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</si>
  <si>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</si>
  <si>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</si>
  <si>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</si>
  <si>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</si>
  <si>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</si>
  <si>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</si>
  <si>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</si>
  <si>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</si>
  <si>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</si>
  <si>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</si>
  <si>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</si>
  <si>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</si>
  <si>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</si>
  <si>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</si>
  <si>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</si>
  <si>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</si>
  <si>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</si>
  <si>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</si>
  <si>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</si>
  <si>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</si>
  <si>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</si>
  <si>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</si>
  <si>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</si>
  <si>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</si>
  <si>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</si>
  <si>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</si>
  <si>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</si>
  <si>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</si>
  <si>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</si>
  <si>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</si>
  <si>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</si>
  <si>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</si>
  <si>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</si>
  <si>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</si>
  <si>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</si>
  <si>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</si>
  <si>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</si>
  <si>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</si>
  <si>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</si>
  <si>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</si>
  <si>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</si>
  <si>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</si>
  <si>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</si>
  <si>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</si>
  <si>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</si>
  <si>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</si>
  <si>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</si>
  <si>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</si>
  <si>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</si>
  <si>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</si>
  <si>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</si>
  <si>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</si>
  <si>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</si>
  <si>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</si>
  <si>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</si>
  <si>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</si>
  <si>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</si>
  <si>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</si>
  <si>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</si>
  <si>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</si>
  <si>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</si>
  <si>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</si>
  <si>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</si>
  <si>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</si>
  <si>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</si>
  <si>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</si>
  <si>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</si>
  <si>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</si>
  <si>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</si>
  <si>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</si>
  <si>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</si>
  <si>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</si>
  <si>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</si>
  <si>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</si>
  <si>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</si>
  <si>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</si>
  <si>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</si>
  <si>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</si>
  <si>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</si>
  <si>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</si>
  <si>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</si>
  <si>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</si>
  <si>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</si>
  <si>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</si>
  <si>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</si>
  <si>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</si>
  <si>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</si>
  <si>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</si>
  <si>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</si>
  <si>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</si>
  <si>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</si>
  <si>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</si>
  <si>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</si>
  <si>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</si>
  <si>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</si>
  <si>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</si>
  <si>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</si>
  <si>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</si>
  <si>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</si>
  <si>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</si>
  <si>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</si>
  <si>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</si>
  <si>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</si>
  <si>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</si>
  <si>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</si>
  <si>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</si>
  <si>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</si>
  <si>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</si>
  <si>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</si>
  <si>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</si>
  <si>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</si>
  <si>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</si>
  <si>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</si>
  <si>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</si>
  <si>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</si>
  <si>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</si>
  <si>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</si>
  <si>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</si>
  <si>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</si>
  <si>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</si>
  <si>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</si>
  <si>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</si>
  <si>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</si>
  <si>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</si>
  <si>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</si>
  <si>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</si>
  <si>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</si>
  <si>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</si>
  <si>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</si>
  <si>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</si>
  <si>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</si>
  <si>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</si>
  <si>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</si>
  <si>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</si>
  <si>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</si>
  <si>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</si>
  <si>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</si>
  <si>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</si>
  <si>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</si>
  <si>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</si>
  <si>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</si>
  <si>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</si>
  <si>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</si>
  <si>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</si>
  <si>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</si>
  <si>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</si>
  <si>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</si>
  <si>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</si>
  <si>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</si>
  <si>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</si>
  <si>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</si>
  <si>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</si>
  <si>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</si>
  <si>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</si>
  <si>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</si>
  <si>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</si>
  <si>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</si>
  <si>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</si>
  <si>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</si>
  <si>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</si>
  <si>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</si>
  <si>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</si>
  <si>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</si>
  <si>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</si>
  <si>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</si>
  <si>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</si>
  <si>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</si>
  <si>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</si>
  <si>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</si>
  <si>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</si>
  <si>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</si>
  <si>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</si>
  <si>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</si>
  <si>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</si>
  <si>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</si>
  <si>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</si>
  <si>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</si>
  <si>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</si>
  <si>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</si>
  <si>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</si>
  <si>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</si>
  <si>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</si>
  <si>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</si>
  <si>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</si>
  <si>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</si>
  <si>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</si>
  <si>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</si>
  <si>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</si>
  <si>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</si>
  <si>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</si>
  <si>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</si>
  <si>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</si>
  <si>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</si>
  <si>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</si>
  <si>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</si>
  <si>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</si>
  <si>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</si>
  <si>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</si>
  <si>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</si>
  <si>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</si>
  <si>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</si>
  <si>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</si>
  <si>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</si>
  <si>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</si>
  <si>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</si>
  <si>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</si>
  <si>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</si>
  <si>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</si>
  <si>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</si>
  <si>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</si>
  <si>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</si>
  <si>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</si>
  <si>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</si>
  <si>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</si>
  <si>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</si>
  <si>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</si>
  <si>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</si>
  <si>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</si>
  <si>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</si>
  <si>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</si>
  <si>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</si>
  <si>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</si>
  <si>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</si>
  <si>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</si>
  <si>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</si>
  <si>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</si>
  <si>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</si>
  <si>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</si>
  <si>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</si>
  <si>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</si>
  <si>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</si>
  <si>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</si>
  <si>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</si>
  <si>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</si>
  <si>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</si>
  <si>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</si>
  <si>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</si>
  <si>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</si>
  <si>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</si>
  <si>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</si>
  <si>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</si>
  <si>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</si>
  <si>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</si>
  <si>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</si>
  <si>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</si>
  <si>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</si>
  <si>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</si>
  <si>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</si>
  <si>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</si>
  <si>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</si>
  <si>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</si>
  <si>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</si>
  <si>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</si>
  <si>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</si>
  <si>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</si>
  <si>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</si>
  <si>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</si>
  <si>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</si>
  <si>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</si>
  <si>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</si>
  <si>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</si>
  <si>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</si>
  <si>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</si>
  <si>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</si>
  <si>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</si>
  <si>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</si>
  <si>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</si>
  <si>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</si>
  <si>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</si>
  <si>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</si>
  <si>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</si>
  <si>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</si>
  <si>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</si>
  <si>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</si>
  <si>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</si>
  <si>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</si>
  <si>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</si>
  <si>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</si>
  <si>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</si>
  <si>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</si>
  <si>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</si>
  <si>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</si>
  <si>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</si>
  <si>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</si>
  <si>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</si>
  <si>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</si>
  <si>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</si>
  <si>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</si>
  <si>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</si>
  <si>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</si>
  <si>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</si>
  <si>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</si>
  <si>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</si>
  <si>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</si>
  <si>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</si>
  <si>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</si>
  <si>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</si>
  <si>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</si>
  <si>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</si>
  <si>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</si>
  <si>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</si>
  <si>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</si>
  <si>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</si>
  <si>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</si>
  <si>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</si>
  <si>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</si>
  <si>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</si>
  <si>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</si>
  <si>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</si>
  <si>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</si>
  <si>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</si>
  <si>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</si>
  <si>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</si>
  <si>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</si>
  <si>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</si>
  <si>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</si>
  <si>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</si>
  <si>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</si>
  <si>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</si>
  <si>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</si>
  <si>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</si>
  <si>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</si>
  <si>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</si>
  <si>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</si>
  <si>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</si>
  <si>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</si>
  <si>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</si>
  <si>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</si>
  <si>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</si>
  <si>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</si>
  <si>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</si>
  <si>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</si>
  <si>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</si>
  <si>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</si>
  <si>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</si>
  <si>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</si>
  <si>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</si>
  <si>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</si>
  <si>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</si>
  <si>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</si>
  <si>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</si>
  <si>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</si>
  <si>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</si>
  <si>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</si>
  <si>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</si>
  <si>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</si>
  <si>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</si>
  <si>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</si>
  <si>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</si>
  <si>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</si>
  <si>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</si>
  <si>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</si>
  <si>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</si>
  <si>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</si>
  <si>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</si>
  <si>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</si>
  <si>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</si>
  <si>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</si>
  <si>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</si>
  <si>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</si>
  <si>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</si>
  <si>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</si>
  <si>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</si>
  <si>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</si>
  <si>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</si>
  <si>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</si>
  <si>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</si>
  <si>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</si>
  <si>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</si>
  <si>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</si>
  <si>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</si>
  <si>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</si>
  <si>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</si>
  <si>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</si>
  <si>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</si>
  <si>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</si>
  <si>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</si>
  <si>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</si>
  <si>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</si>
  <si>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</si>
  <si>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</si>
  <si>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</si>
  <si>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</si>
  <si>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</si>
  <si>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</si>
  <si>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</si>
  <si>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</si>
  <si>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</si>
  <si>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</si>
  <si>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</si>
  <si>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</si>
  <si>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</si>
  <si>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</si>
  <si>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</si>
  <si>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</si>
  <si>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</si>
  <si>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</si>
  <si>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</si>
  <si>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</si>
  <si>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</si>
  <si>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</si>
  <si>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</si>
  <si>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</si>
  <si>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</si>
  <si>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</si>
  <si>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</si>
  <si>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</si>
  <si>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</si>
  <si>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</si>
  <si>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</si>
  <si>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</si>
  <si>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</si>
  <si>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</si>
  <si>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</si>
  <si>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</si>
  <si>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</si>
  <si>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</si>
  <si>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</si>
  <si>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</si>
  <si>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</si>
  <si>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</si>
  <si>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</si>
  <si>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</si>
  <si>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</si>
  <si>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</si>
  <si>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</si>
  <si>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</si>
  <si>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</si>
  <si>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</si>
  <si>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</si>
  <si>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</si>
  <si>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</si>
  <si>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</si>
  <si>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</si>
  <si>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</si>
  <si>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</si>
  <si>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</si>
  <si>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</si>
  <si>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</si>
  <si>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</si>
  <si>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</si>
  <si>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</si>
  <si>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</si>
  <si>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</si>
  <si>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</si>
  <si>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</si>
  <si>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</si>
  <si>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</si>
  <si>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</si>
  <si>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</si>
  <si>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</si>
  <si>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</si>
  <si>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</si>
  <si>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</si>
  <si>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</si>
  <si>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</si>
  <si>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</si>
  <si>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</si>
  <si>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</si>
  <si>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</si>
  <si>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</si>
  <si>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</si>
  <si>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</si>
  <si>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</si>
  <si>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</si>
  <si>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</si>
  <si>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</si>
  <si>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</si>
  <si>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</si>
  <si>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</si>
  <si>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</si>
  <si>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</si>
  <si>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</si>
  <si>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</si>
  <si>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</si>
  <si>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</si>
  <si>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</si>
  <si>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</si>
  <si>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</si>
  <si>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</si>
  <si>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</si>
  <si>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</si>
  <si>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</si>
  <si>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</si>
  <si>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</si>
  <si>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</si>
  <si>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</si>
  <si>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</si>
  <si>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</si>
  <si>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</si>
  <si>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</si>
  <si>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</si>
  <si>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</si>
  <si>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</si>
  <si>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</si>
  <si>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</si>
  <si>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</si>
  <si>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</si>
  <si>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</si>
  <si>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</si>
  <si>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</si>
  <si>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</si>
  <si>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</si>
  <si>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</si>
  <si>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</si>
  <si>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</si>
  <si>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</si>
  <si>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</si>
  <si>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</si>
  <si>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</si>
  <si>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</si>
  <si>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</si>
  <si>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</si>
  <si>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</si>
  <si>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</si>
  <si>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</si>
  <si>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</si>
  <si>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</si>
  <si>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</si>
  <si>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</si>
  <si>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</si>
  <si>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</si>
  <si>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</si>
  <si>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</si>
  <si>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</si>
  <si>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</si>
  <si>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</si>
  <si>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</si>
  <si>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</si>
  <si>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</si>
  <si>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</si>
  <si>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</si>
  <si>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</si>
  <si>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</si>
  <si>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</si>
  <si>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</si>
  <si>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</si>
  <si>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</si>
  <si>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</si>
  <si>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</si>
  <si>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</si>
  <si>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</si>
  <si>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</si>
  <si>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</si>
  <si>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</si>
  <si>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</si>
  <si>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</si>
  <si>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</si>
  <si>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</si>
  <si>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</si>
  <si>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</si>
  <si>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</si>
  <si>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</si>
  <si>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</si>
  <si>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</si>
  <si>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</si>
  <si>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</si>
  <si>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</si>
  <si>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</si>
  <si>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</si>
  <si>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</si>
  <si>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</si>
  <si>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</si>
  <si>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</si>
  <si>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</si>
  <si>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</si>
  <si>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</si>
  <si>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</si>
  <si>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</si>
  <si>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</si>
  <si>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</si>
  <si>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</si>
  <si>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</si>
  <si>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</si>
  <si>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</si>
  <si>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</si>
  <si>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</si>
  <si>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</si>
  <si>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</si>
  <si>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</si>
  <si>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</si>
  <si>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</si>
  <si>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</si>
  <si>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</si>
  <si>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</si>
  <si>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</si>
  <si>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</si>
  <si>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</si>
  <si>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</si>
  <si>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</si>
  <si>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</si>
  <si>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</si>
  <si>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</si>
  <si>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</si>
  <si>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</si>
  <si>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</si>
  <si>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</si>
  <si>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</si>
  <si>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</si>
  <si>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</si>
  <si>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</si>
  <si>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</si>
  <si>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</si>
  <si>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</si>
  <si>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</si>
  <si>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</si>
  <si>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</si>
  <si>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</si>
  <si>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</si>
  <si>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</si>
  <si>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</si>
  <si>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</si>
  <si>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</si>
  <si>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</si>
  <si>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</si>
  <si>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</si>
  <si>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</si>
  <si>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</si>
  <si>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</si>
  <si>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</si>
  <si>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</si>
  <si>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</si>
  <si>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</si>
  <si>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</si>
  <si>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</si>
  <si>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</si>
  <si>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</si>
  <si>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</si>
  <si>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</si>
  <si>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</si>
  <si>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</si>
  <si>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</si>
  <si>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</si>
  <si>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</si>
  <si>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</si>
  <si>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</si>
  <si>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</si>
  <si>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</si>
  <si>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</si>
  <si>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</si>
  <si>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</si>
  <si>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</si>
  <si>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</si>
  <si>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</si>
  <si>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</si>
  <si>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</si>
  <si>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</si>
  <si>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</si>
  <si>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</si>
  <si>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</si>
  <si>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</si>
  <si>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</si>
  <si>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</si>
  <si>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</si>
  <si>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</si>
  <si>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</si>
  <si>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</si>
  <si>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</si>
  <si>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</si>
  <si>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</si>
  <si>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</si>
  <si>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</si>
  <si>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</si>
  <si>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</si>
  <si>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</si>
  <si>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</si>
  <si>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</si>
  <si>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</si>
  <si>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</si>
  <si>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</si>
  <si>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</si>
  <si>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</si>
  <si>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</si>
  <si>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</si>
  <si>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</si>
  <si>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</si>
  <si>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</si>
  <si>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</si>
  <si>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</si>
  <si>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</si>
  <si>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</si>
  <si>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</si>
  <si>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</si>
  <si>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</si>
  <si>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</si>
  <si>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</si>
  <si>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</si>
  <si>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</si>
  <si>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</si>
  <si>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</si>
  <si>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</si>
  <si>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</si>
  <si>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</si>
  <si>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</si>
  <si>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</si>
  <si>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</si>
  <si>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</si>
  <si>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</si>
  <si>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</si>
  <si>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</si>
  <si>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</si>
  <si>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</si>
  <si>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</si>
  <si>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</si>
  <si>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</si>
  <si>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</si>
  <si>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</si>
  <si>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</si>
  <si>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</si>
  <si>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</si>
  <si>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</si>
  <si>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</si>
  <si>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</si>
  <si>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</si>
  <si>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</si>
  <si>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</si>
  <si>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</si>
  <si>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</si>
  <si>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</si>
  <si>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</si>
  <si>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</si>
  <si>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</si>
  <si>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</si>
  <si>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</si>
  <si>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</si>
  <si>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</si>
  <si>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</si>
  <si>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</si>
  <si>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</si>
  <si>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</si>
  <si>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</si>
  <si>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</si>
  <si>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</si>
  <si>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</si>
  <si>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</si>
  <si>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</si>
  <si>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</si>
  <si>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</si>
  <si>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</si>
  <si>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</si>
  <si>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</si>
  <si>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</si>
  <si>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</si>
  <si>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</si>
  <si>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</si>
  <si>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</si>
  <si>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</si>
  <si>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</si>
  <si>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</si>
  <si>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</si>
  <si>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</si>
  <si>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</si>
  <si>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</si>
  <si>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</si>
  <si>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</si>
  <si>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</si>
  <si>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</si>
  <si>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</si>
  <si>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</si>
  <si>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</si>
  <si>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</si>
  <si>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</si>
  <si>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</si>
  <si>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</si>
  <si>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</si>
  <si>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</si>
  <si>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</si>
  <si>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</si>
  <si>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</si>
  <si>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</si>
  <si>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</si>
  <si>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</si>
  <si>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</si>
  <si>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</si>
  <si>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</si>
  <si>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</si>
  <si>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</si>
  <si>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</si>
  <si>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</si>
  <si>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</si>
  <si>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</si>
  <si>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</si>
  <si>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</si>
  <si>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</si>
  <si>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</si>
  <si>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</si>
  <si>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</si>
  <si>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</si>
  <si>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</si>
  <si>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</si>
  <si>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</si>
  <si>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</si>
  <si>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</si>
  <si>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</si>
  <si>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</si>
  <si>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</si>
  <si>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</si>
  <si>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</si>
  <si>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</si>
  <si>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</si>
  <si>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</si>
  <si>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</si>
  <si>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</si>
  <si>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</si>
  <si>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</si>
  <si>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</si>
  <si>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</si>
  <si>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</si>
  <si>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</si>
  <si>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</si>
  <si>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</si>
  <si>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</si>
  <si>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</si>
  <si>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</si>
  <si>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</si>
  <si>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</si>
  <si>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</si>
  <si>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</si>
  <si>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</si>
  <si>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</si>
  <si>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</si>
  <si>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</si>
  <si>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</si>
  <si>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</si>
  <si>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</si>
  <si>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</si>
  <si>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</si>
  <si>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</si>
  <si>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</si>
  <si>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</si>
  <si>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</si>
  <si>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</si>
  <si>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</si>
  <si>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</si>
  <si>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</si>
  <si>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</si>
  <si>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</si>
  <si>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</si>
  <si>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</si>
  <si>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</si>
  <si>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</si>
  <si>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</si>
  <si>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</si>
  <si>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</si>
  <si>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</si>
  <si>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</si>
  <si>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</si>
  <si>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</si>
  <si>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</si>
  <si>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</si>
  <si>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</si>
  <si>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</si>
  <si>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</si>
  <si>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</si>
  <si>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</si>
  <si>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</si>
  <si>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</si>
  <si>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</si>
  <si>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</si>
  <si>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</si>
  <si>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</si>
  <si>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</si>
  <si>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</si>
  <si>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</si>
  <si>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</si>
  <si>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</si>
  <si>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</si>
  <si>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</si>
  <si>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</si>
  <si>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</si>
  <si>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</si>
  <si>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</si>
  <si>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</si>
  <si>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</si>
  <si>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</si>
  <si>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</si>
  <si>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</si>
  <si>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</si>
  <si>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</si>
  <si>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</si>
  <si>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</si>
  <si>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</si>
  <si>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</si>
  <si>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</si>
  <si>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</si>
  <si>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</si>
  <si>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</si>
  <si>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</si>
  <si>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</si>
  <si>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</si>
  <si>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</si>
  <si>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</si>
  <si>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</si>
  <si>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</si>
  <si>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</si>
  <si>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</si>
  <si>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</si>
  <si>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</si>
  <si>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</si>
  <si>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</si>
  <si>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</si>
  <si>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</si>
  <si>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</si>
  <si>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</si>
  <si>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</si>
  <si>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</si>
  <si>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</si>
  <si>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</si>
  <si>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</si>
  <si>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</si>
  <si>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</si>
  <si>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</si>
  <si>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</si>
  <si>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</si>
  <si>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</si>
  <si>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</si>
  <si>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</si>
  <si>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</si>
  <si>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</si>
  <si>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</si>
  <si>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</si>
  <si>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</si>
  <si>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</si>
  <si>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</si>
  <si>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</si>
  <si>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</si>
  <si>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</si>
  <si>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</si>
  <si>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</si>
  <si>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</si>
  <si>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</si>
  <si>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</si>
  <si>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</si>
  <si>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</si>
  <si>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</si>
  <si>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</si>
  <si>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</si>
  <si>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</si>
  <si>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</si>
  <si>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</si>
  <si>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</si>
  <si>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</si>
  <si>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</si>
  <si>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</si>
  <si>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</si>
  <si>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</si>
  <si>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</si>
  <si>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</si>
  <si>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</si>
  <si>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</si>
  <si>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</si>
  <si>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</si>
  <si>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</si>
  <si>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</si>
  <si>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</si>
  <si>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</si>
  <si>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</si>
  <si>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</si>
  <si>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</si>
  <si>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</si>
  <si>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</si>
  <si>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</si>
  <si>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</si>
  <si>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</si>
  <si>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</si>
  <si>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</si>
  <si>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</si>
  <si>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</si>
  <si>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</si>
  <si>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</si>
  <si>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</si>
  <si>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</si>
  <si>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</si>
  <si>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</si>
  <si>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</si>
  <si>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</si>
  <si>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</si>
  <si>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</si>
  <si>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</si>
  <si>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</si>
  <si>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</si>
  <si>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</si>
  <si>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</si>
  <si>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</si>
  <si>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</si>
  <si>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</si>
  <si>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</si>
  <si>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</si>
  <si>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</si>
  <si>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</si>
  <si>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</si>
  <si>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</si>
  <si>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</si>
  <si>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</si>
  <si>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</si>
  <si>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</si>
  <si>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</si>
  <si>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</si>
  <si>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</si>
  <si>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</si>
  <si>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</si>
  <si>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</si>
  <si>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</si>
  <si>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</si>
  <si>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</si>
  <si>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</si>
  <si>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</si>
  <si>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</si>
  <si>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</si>
  <si>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</si>
  <si>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</si>
  <si>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</si>
  <si>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</si>
  <si>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</si>
  <si>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</si>
  <si>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</si>
  <si>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</si>
  <si>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</si>
  <si>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</si>
  <si>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</si>
  <si>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</si>
  <si>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</si>
  <si>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</si>
  <si>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</si>
  <si>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</si>
  <si>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</si>
  <si>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</si>
  <si>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</si>
  <si>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</si>
  <si>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</si>
  <si>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</si>
  <si>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</si>
  <si>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</si>
  <si>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</si>
  <si>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</si>
  <si>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</si>
  <si>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</si>
  <si>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</si>
  <si>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</si>
  <si>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</si>
  <si>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</si>
  <si>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</si>
  <si>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</si>
  <si>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</si>
  <si>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</si>
  <si>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</si>
  <si>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</si>
  <si>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</si>
  <si>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</si>
  <si>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</si>
  <si>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</si>
  <si>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</si>
  <si>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</si>
  <si>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</si>
  <si>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</si>
  <si>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</si>
  <si>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</si>
  <si>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</si>
  <si>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</si>
  <si>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</si>
  <si>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</si>
  <si>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</si>
  <si>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</si>
  <si>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</si>
  <si>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</si>
  <si>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</si>
  <si>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</si>
  <si>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</si>
  <si>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</si>
  <si>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</si>
  <si>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</si>
  <si>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</si>
  <si>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</si>
  <si>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</si>
  <si>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</si>
  <si>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</si>
  <si>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</si>
  <si>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</si>
  <si>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</si>
  <si>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</si>
  <si>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</si>
  <si>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</si>
  <si>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</si>
  <si>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</si>
  <si>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</si>
  <si>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</si>
  <si>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</si>
  <si>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</si>
  <si>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</si>
  <si>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</si>
  <si>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</si>
  <si>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</si>
  <si>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</si>
  <si>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</si>
  <si>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</si>
  <si>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</si>
  <si>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</si>
  <si>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</si>
  <si>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</si>
  <si>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</si>
  <si>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</si>
  <si>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</si>
  <si>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</si>
  <si>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</si>
  <si>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</si>
  <si>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</si>
  <si>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</si>
  <si>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</si>
  <si>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</si>
  <si>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</si>
  <si>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</si>
  <si>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</si>
  <si>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</si>
  <si>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</si>
  <si>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</si>
  <si>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</si>
  <si>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</si>
  <si>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</si>
  <si>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</si>
  <si>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</si>
  <si>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</si>
  <si>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</si>
  <si>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</si>
  <si>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</si>
  <si>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</si>
  <si>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</si>
  <si>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</si>
  <si>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</si>
  <si>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</si>
  <si>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</si>
  <si>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</si>
  <si>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</si>
  <si>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</si>
  <si>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</si>
  <si>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</si>
  <si>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</si>
  <si>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</si>
  <si>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</si>
  <si>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</si>
  <si>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</si>
  <si>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</si>
  <si>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</si>
  <si>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</si>
  <si>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</si>
  <si>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</si>
  <si>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</si>
  <si>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</si>
  <si>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</si>
  <si>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</si>
  <si>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</si>
  <si>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</si>
  <si>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</si>
  <si>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</si>
  <si>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</si>
  <si>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</si>
  <si>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</si>
  <si>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</si>
  <si>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</si>
  <si>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</si>
  <si>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</si>
  <si>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</si>
  <si>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</si>
  <si>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</si>
  <si>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</si>
  <si>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</si>
  <si>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</si>
  <si>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</si>
  <si>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</si>
  <si>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</si>
  <si>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</si>
  <si>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</si>
  <si>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</si>
  <si>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</si>
  <si>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</si>
  <si>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</si>
  <si>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</si>
  <si>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</si>
  <si>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</si>
  <si>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</si>
  <si>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</si>
  <si>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</si>
  <si>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</si>
  <si>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</si>
  <si>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</si>
  <si>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</si>
  <si>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</si>
  <si>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</si>
  <si>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</si>
  <si>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</si>
  <si>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</si>
  <si>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</si>
  <si>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</si>
  <si>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</si>
  <si>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</si>
  <si>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</si>
  <si>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</si>
  <si>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</si>
  <si>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</si>
  <si>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</si>
  <si>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</si>
  <si>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</si>
  <si>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</si>
  <si>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</si>
  <si>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</si>
  <si>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</si>
  <si>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</si>
  <si>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</si>
  <si>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</si>
  <si>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</si>
  <si>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</si>
  <si>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</si>
  <si>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</si>
  <si>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</si>
  <si>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</si>
  <si>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</si>
  <si>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</si>
  <si>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</si>
  <si>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</si>
  <si>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</si>
  <si>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</si>
  <si>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</si>
  <si>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</si>
  <si>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</si>
  <si>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</si>
  <si>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</si>
  <si>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</si>
  <si>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</si>
  <si>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</si>
  <si>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</si>
  <si>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</si>
  <si>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</si>
  <si>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</si>
  <si>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</si>
  <si>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</si>
  <si>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</si>
  <si>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</si>
  <si>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</si>
  <si>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</si>
  <si>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</si>
  <si>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</si>
  <si>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</si>
  <si>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</si>
  <si>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</si>
  <si>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</si>
  <si>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</si>
  <si>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</si>
  <si>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</si>
  <si>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</si>
  <si>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</si>
  <si>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</si>
  <si>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</si>
  <si>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</si>
  <si>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</si>
  <si>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</si>
  <si>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</si>
  <si>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</si>
  <si>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</si>
  <si>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</si>
  <si>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</si>
  <si>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</si>
  <si>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</si>
  <si>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</si>
  <si>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</si>
  <si>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</si>
  <si>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</si>
  <si>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</si>
  <si>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</si>
  <si>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</si>
  <si>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</si>
  <si>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</si>
  <si>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</si>
  <si>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</si>
  <si>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</si>
  <si>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</si>
  <si>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</si>
  <si>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</si>
  <si>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</si>
  <si>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</si>
  <si>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</si>
  <si>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</si>
  <si>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</si>
  <si>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</si>
  <si>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</si>
  <si>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</si>
  <si>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</si>
  <si>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</si>
  <si>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</si>
  <si>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</si>
  <si>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</si>
  <si>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</si>
  <si>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</si>
  <si>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</si>
  <si>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</si>
  <si>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</si>
  <si>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</si>
  <si>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</si>
  <si>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</si>
  <si>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</si>
  <si>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</si>
  <si>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</si>
  <si>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</si>
  <si>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</si>
  <si>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</si>
  <si>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</si>
  <si>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</si>
  <si>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</si>
  <si>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</si>
  <si>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</si>
  <si>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</si>
  <si>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</si>
  <si>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</si>
  <si>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</si>
  <si>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</si>
  <si>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</si>
  <si>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</si>
  <si>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</si>
  <si>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</si>
  <si>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</si>
  <si>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</si>
  <si>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</si>
  <si>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</si>
  <si>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</si>
  <si>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</si>
  <si>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</si>
  <si>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</si>
  <si>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</si>
  <si>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</si>
  <si>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</si>
  <si>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</si>
  <si>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</si>
  <si>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</si>
  <si>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</si>
  <si>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</si>
  <si>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</si>
  <si>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</si>
  <si>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</si>
  <si>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</si>
  <si>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</si>
  <si>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</si>
  <si>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</si>
  <si>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</si>
  <si>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</si>
  <si>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</si>
  <si>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</si>
  <si>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</si>
  <si>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</si>
  <si>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</si>
  <si>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</si>
  <si>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</si>
  <si>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</si>
  <si>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</si>
  <si>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</si>
  <si>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</si>
  <si>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</si>
  <si>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</si>
  <si>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</si>
  <si>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</si>
  <si>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</si>
  <si>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</si>
  <si>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</si>
  <si>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</si>
  <si>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</si>
  <si>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</si>
  <si>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</si>
  <si>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</si>
  <si>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</si>
  <si>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</si>
  <si>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</si>
  <si>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</si>
  <si>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</si>
  <si>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</si>
  <si>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</si>
  <si>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</si>
  <si>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</si>
  <si>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</si>
  <si>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</si>
  <si>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</si>
  <si>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</si>
  <si>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</si>
  <si>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</si>
  <si>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</si>
  <si>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</si>
  <si>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</si>
  <si>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</si>
  <si>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</si>
  <si>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</si>
  <si>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</si>
  <si>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</si>
  <si>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</si>
  <si>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</si>
  <si>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</si>
  <si>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</si>
  <si>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</si>
  <si>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</si>
  <si>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</si>
  <si>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</si>
  <si>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</si>
  <si>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</si>
  <si>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</si>
  <si>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</si>
  <si>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</si>
  <si>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</si>
  <si>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</si>
  <si>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</si>
  <si>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</si>
  <si>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</si>
  <si>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</si>
  <si>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</si>
  <si>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</si>
  <si>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</si>
  <si>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</si>
  <si>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</si>
  <si>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</si>
  <si>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</si>
  <si>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</si>
  <si>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</si>
  <si>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</si>
  <si>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</si>
  <si>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</si>
  <si>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</si>
  <si>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</si>
  <si>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</si>
  <si>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</si>
  <si>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</si>
  <si>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</si>
  <si>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</si>
  <si>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</si>
  <si>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</si>
  <si>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</si>
  <si>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</si>
  <si>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</si>
  <si>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</si>
  <si>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</si>
  <si>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</si>
  <si>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</si>
  <si>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</si>
  <si>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</si>
  <si>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</si>
  <si>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</si>
  <si>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</si>
  <si>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</si>
  <si>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</si>
  <si>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</si>
  <si>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</si>
  <si>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</si>
  <si>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</si>
  <si>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</si>
  <si>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</si>
  <si>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</si>
  <si>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</si>
  <si>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</si>
  <si>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</si>
  <si>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</si>
  <si>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</si>
  <si>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</si>
  <si>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</si>
  <si>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</si>
  <si>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</si>
  <si>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</si>
  <si>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</si>
  <si>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</si>
  <si>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</si>
  <si>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</si>
  <si>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</si>
  <si>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</si>
  <si>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</si>
  <si>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</si>
  <si>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</si>
  <si>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</si>
  <si>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</si>
  <si>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</si>
  <si>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</si>
  <si>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</si>
  <si>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</si>
  <si>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</si>
  <si>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</si>
  <si>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</si>
  <si>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</si>
  <si>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</si>
  <si>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</si>
  <si>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</si>
  <si>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</si>
  <si>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</si>
  <si>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</si>
  <si>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</si>
  <si>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</si>
  <si>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</si>
  <si>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</si>
  <si>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</si>
  <si>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</si>
  <si>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</si>
  <si>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</si>
  <si>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</si>
  <si>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</si>
  <si>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</si>
  <si>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</si>
  <si>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</si>
  <si>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</si>
  <si>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</si>
  <si>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</si>
  <si>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</si>
  <si>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</si>
  <si>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</si>
  <si>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</si>
  <si>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</si>
  <si>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</si>
  <si>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</si>
  <si>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</si>
  <si>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</si>
  <si>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</si>
  <si>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</si>
  <si>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</si>
  <si>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</si>
  <si>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</si>
  <si>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</si>
  <si>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</si>
  <si>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</si>
  <si>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</si>
  <si>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</si>
  <si>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</si>
  <si>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</si>
  <si>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</si>
  <si>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</si>
  <si>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</si>
  <si>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</si>
  <si>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</si>
  <si>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</si>
  <si>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</si>
  <si>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</si>
  <si>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</si>
  <si>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</si>
  <si>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</si>
  <si>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</si>
  <si>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</si>
  <si>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</si>
  <si>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</si>
  <si>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</si>
  <si>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</si>
  <si>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</si>
  <si>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</si>
  <si>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</si>
  <si>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</si>
  <si>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</si>
  <si>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</si>
  <si>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</si>
  <si>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</si>
  <si>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</si>
  <si>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</si>
  <si>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</si>
  <si>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</si>
  <si>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</si>
  <si>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</si>
  <si>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</si>
  <si>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</si>
  <si>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</si>
  <si>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</si>
  <si>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</si>
  <si>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</si>
  <si>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</si>
  <si>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</si>
  <si>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</si>
  <si>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</si>
  <si>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</si>
  <si>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</si>
  <si>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</si>
  <si>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</si>
  <si>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</si>
  <si>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</si>
  <si>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</si>
  <si>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</si>
  <si>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</si>
  <si>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</si>
  <si>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</si>
  <si>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</si>
  <si>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</si>
  <si>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</si>
  <si>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</si>
  <si>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</si>
  <si>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</si>
  <si>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</si>
  <si>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</si>
  <si>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</si>
  <si>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</si>
  <si>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</si>
  <si>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</si>
  <si>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</si>
  <si>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</si>
  <si>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</si>
  <si>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</si>
  <si>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</si>
  <si>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</si>
  <si>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</si>
  <si>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</si>
  <si>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</si>
  <si>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</si>
  <si>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</si>
  <si>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</si>
  <si>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</si>
  <si>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</si>
  <si>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</si>
  <si>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</si>
  <si>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</si>
  <si>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</si>
  <si>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</si>
  <si>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</si>
  <si>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</si>
  <si>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</si>
  <si>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</si>
  <si>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</si>
  <si>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</si>
  <si>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</si>
  <si>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</si>
  <si>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</si>
  <si>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</si>
  <si>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</si>
  <si>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</si>
  <si>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</si>
  <si>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</si>
  <si>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</si>
  <si>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</si>
  <si>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</si>
  <si>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</si>
  <si>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</si>
  <si>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</si>
  <si>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</si>
  <si>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</si>
  <si>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</si>
  <si>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</si>
  <si>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</si>
  <si>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</si>
  <si>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</si>
  <si>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</si>
  <si>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</si>
  <si>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</si>
  <si>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</si>
  <si>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</si>
  <si>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</si>
  <si>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</si>
  <si>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</si>
  <si>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</si>
  <si>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</si>
  <si>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</si>
  <si>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</si>
  <si>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</si>
  <si>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</si>
  <si>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</si>
  <si>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</si>
  <si>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</si>
  <si>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</si>
  <si>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</si>
  <si>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</si>
  <si>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</si>
  <si>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</si>
  <si>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</si>
  <si>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</si>
  <si>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</si>
  <si>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</si>
  <si>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</si>
  <si>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</si>
  <si>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</si>
  <si>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</si>
  <si>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</si>
  <si>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</si>
  <si>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</si>
  <si>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</si>
  <si>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</si>
  <si>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</si>
  <si>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</si>
  <si>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</si>
  <si>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</si>
  <si>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</si>
  <si>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</si>
  <si>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</si>
  <si>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</si>
  <si>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</si>
  <si>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</si>
  <si>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</si>
  <si>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</si>
  <si>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</si>
  <si>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</si>
  <si>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</si>
  <si>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</si>
  <si>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</si>
  <si>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</si>
  <si>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</si>
  <si>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</si>
  <si>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</si>
  <si>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</si>
  <si>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</si>
  <si>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</si>
  <si>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</si>
  <si>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</si>
  <si>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</si>
  <si>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</si>
  <si>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</si>
  <si>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</si>
  <si>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</si>
  <si>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</si>
  <si>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</si>
  <si>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</si>
  <si>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</si>
  <si>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</si>
  <si>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</si>
  <si>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</si>
  <si>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</si>
  <si>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</si>
  <si>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</si>
  <si>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</si>
  <si>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</si>
  <si>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</si>
  <si>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</si>
  <si>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</si>
  <si>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</si>
  <si>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</si>
  <si>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</si>
  <si>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</si>
  <si>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</si>
  <si>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</si>
  <si>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</si>
  <si>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</si>
  <si>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</si>
  <si>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</si>
  <si>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</si>
  <si>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</si>
  <si>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</si>
  <si>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</si>
  <si>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</si>
  <si>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</si>
  <si>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</si>
  <si>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</si>
  <si>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</si>
  <si>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</si>
  <si>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</si>
  <si>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</si>
  <si>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</si>
  <si>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</si>
  <si>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</si>
  <si>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</si>
  <si>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</si>
  <si>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</si>
  <si>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</si>
  <si>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</si>
  <si>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</si>
  <si>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</si>
  <si>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</si>
  <si>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</si>
  <si>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</si>
  <si>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</si>
  <si>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</si>
  <si>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</si>
  <si>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</si>
  <si>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</si>
  <si>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</si>
  <si>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</si>
  <si>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</si>
  <si>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</si>
  <si>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</si>
  <si>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</si>
  <si>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</si>
  <si>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</si>
  <si>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</si>
  <si>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</si>
  <si>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</si>
  <si>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</si>
  <si>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</si>
  <si>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</si>
  <si>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</si>
  <si>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</si>
  <si>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</si>
  <si>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</si>
  <si>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</si>
  <si>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</si>
  <si>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</si>
  <si>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</si>
  <si>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</si>
  <si>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</si>
  <si>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</si>
  <si>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</si>
  <si>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</si>
  <si>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</si>
  <si>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</si>
  <si>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</si>
  <si>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</si>
  <si>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</si>
  <si>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</si>
  <si>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</si>
  <si>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</si>
  <si>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</si>
  <si>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</si>
  <si>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</si>
  <si>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</si>
  <si>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</si>
  <si>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</si>
  <si>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</si>
  <si>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</si>
  <si>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</si>
  <si>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</si>
  <si>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</si>
  <si>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</si>
  <si>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</si>
  <si>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</si>
  <si>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</si>
  <si>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</si>
  <si>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</si>
  <si>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</si>
  <si>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</si>
  <si>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</si>
  <si>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</si>
  <si>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</si>
  <si>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</si>
  <si>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</si>
  <si>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</si>
  <si>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</si>
  <si>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</si>
  <si>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</si>
  <si>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</si>
  <si>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</si>
  <si>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</si>
  <si>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</si>
  <si>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</si>
  <si>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</si>
  <si>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</si>
  <si>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</si>
  <si>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</si>
  <si>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</si>
  <si>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</si>
  <si>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</si>
  <si>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</si>
  <si>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</si>
  <si>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</si>
  <si>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</si>
  <si>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</si>
  <si>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</si>
  <si>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</si>
  <si>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</si>
  <si>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</si>
  <si>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</si>
  <si>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</si>
  <si>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</si>
  <si>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</si>
  <si>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</si>
  <si>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</si>
  <si>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</si>
  <si>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</si>
  <si>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</si>
  <si>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</si>
  <si>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</si>
  <si>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</si>
  <si>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</si>
  <si>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</si>
  <si>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</si>
  <si>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</si>
  <si>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</si>
  <si>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</si>
  <si>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</si>
  <si>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</si>
  <si>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</si>
  <si>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</si>
  <si>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</si>
  <si>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</si>
  <si>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</si>
  <si>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</si>
  <si>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</si>
  <si>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</si>
  <si>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</si>
  <si>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</si>
  <si>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</si>
  <si>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</si>
  <si>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</si>
  <si>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</si>
  <si>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</si>
  <si>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</si>
  <si>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</si>
  <si>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</si>
  <si>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</si>
  <si>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</si>
  <si>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</si>
  <si>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</si>
  <si>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</si>
  <si>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</si>
  <si>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</si>
  <si>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</si>
  <si>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</si>
  <si>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</si>
  <si>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</si>
  <si>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</si>
  <si>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</si>
  <si>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</si>
  <si>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</si>
  <si>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</si>
  <si>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</si>
  <si>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</si>
  <si>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</si>
  <si>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</si>
  <si>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</si>
  <si>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</si>
  <si>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</si>
  <si>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</si>
  <si>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</si>
  <si>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</si>
  <si>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</si>
  <si>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</si>
  <si>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</si>
  <si>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</si>
  <si>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</si>
  <si>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</si>
  <si>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</si>
  <si>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</si>
  <si>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</si>
  <si>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</si>
  <si>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</si>
  <si>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</si>
  <si>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</si>
  <si>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</si>
  <si>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</si>
  <si>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</si>
  <si>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</si>
  <si>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</si>
  <si>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</si>
  <si>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</si>
  <si>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</si>
  <si>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</si>
  <si>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</si>
  <si>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</si>
  <si>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</si>
  <si>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</si>
  <si>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</si>
  <si>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</si>
  <si>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</si>
  <si>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</si>
  <si>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</si>
  <si>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</si>
  <si>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</si>
  <si>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</si>
  <si>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</si>
  <si>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</si>
  <si>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</si>
  <si>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</si>
  <si>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</si>
  <si>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</si>
  <si>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</si>
  <si>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</si>
  <si>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</si>
  <si>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</si>
  <si>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</si>
  <si>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</si>
  <si>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</si>
  <si>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</si>
  <si>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</si>
  <si>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</si>
  <si>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</si>
  <si>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</si>
  <si>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</si>
  <si>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</si>
  <si>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</si>
  <si>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</si>
  <si>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</si>
  <si>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</si>
  <si>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</si>
  <si>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</si>
  <si>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</si>
  <si>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</si>
  <si>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</si>
  <si>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</si>
  <si>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</si>
  <si>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</si>
  <si>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</si>
  <si>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</si>
  <si>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</si>
  <si>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</si>
  <si>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</si>
  <si>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</si>
  <si>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</si>
  <si>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</si>
  <si>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</si>
  <si>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</si>
  <si>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</si>
  <si>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</si>
  <si>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</si>
  <si>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</si>
  <si>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</si>
  <si>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</si>
  <si>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</si>
  <si>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</si>
  <si>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</si>
  <si>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</si>
  <si>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</si>
  <si>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</si>
  <si>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</si>
  <si>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</si>
  <si>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</si>
  <si>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</si>
  <si>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</si>
  <si>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</si>
  <si>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</si>
  <si>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</si>
  <si>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</si>
  <si>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</si>
  <si>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</si>
  <si>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</si>
  <si>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</si>
  <si>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</si>
  <si>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</si>
  <si>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</si>
  <si>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</si>
  <si>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</si>
  <si>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</si>
  <si>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</si>
  <si>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</si>
  <si>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</si>
  <si>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</si>
  <si>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</si>
  <si>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</si>
  <si>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</si>
  <si>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</si>
  <si>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</si>
  <si>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</si>
  <si>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</si>
  <si>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</si>
  <si>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</si>
  <si>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</si>
  <si>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</si>
  <si>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</si>
  <si>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</si>
  <si>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</si>
  <si>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</si>
  <si>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</si>
  <si>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</si>
  <si>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</si>
  <si>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</si>
  <si>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</si>
  <si>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</si>
  <si>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</si>
  <si>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</si>
  <si>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</si>
  <si>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</si>
  <si>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</si>
  <si>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</si>
  <si>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</si>
  <si>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</si>
  <si>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</si>
  <si>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</si>
  <si>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</si>
  <si>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</si>
  <si>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</si>
  <si>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</si>
  <si>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</si>
  <si>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</si>
  <si>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</si>
  <si>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</si>
  <si>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</si>
  <si>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</si>
  <si>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</si>
  <si>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</si>
  <si>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</si>
  <si>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</si>
  <si>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</si>
  <si>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</si>
  <si>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</si>
  <si>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</si>
  <si>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</si>
  <si>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</si>
  <si>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</si>
  <si>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</si>
  <si>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</si>
  <si>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</si>
  <si>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</si>
  <si>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</si>
  <si>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</si>
  <si>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</si>
  <si>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</si>
  <si>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</si>
  <si>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</si>
  <si>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</si>
  <si>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</si>
  <si>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</si>
  <si>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</si>
  <si>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</si>
  <si>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</si>
  <si>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</si>
  <si>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</si>
  <si>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</si>
  <si>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</si>
  <si>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</si>
  <si>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</si>
  <si>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</si>
  <si>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</si>
  <si>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</si>
  <si>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</si>
  <si>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</si>
  <si>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</si>
  <si>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</si>
  <si>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</si>
  <si>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</si>
  <si>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</si>
  <si>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</si>
  <si>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</si>
  <si>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</si>
  <si>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</si>
  <si>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</si>
  <si>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</si>
  <si>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</si>
  <si>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</si>
  <si>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</si>
  <si>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</si>
  <si>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</si>
  <si>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</si>
  <si>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</si>
  <si>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</si>
  <si>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</si>
  <si>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</si>
  <si>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</si>
  <si>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</si>
  <si>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</si>
  <si>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</si>
  <si>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</si>
  <si>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</si>
  <si>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</si>
  <si>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</si>
  <si>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</si>
  <si>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</si>
  <si>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</si>
  <si>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</si>
  <si>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</si>
  <si>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</si>
  <si>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</si>
  <si>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</si>
  <si>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</si>
  <si>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</si>
  <si>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</si>
  <si>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</si>
  <si>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</si>
  <si>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</si>
  <si>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</si>
  <si>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</si>
  <si>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</si>
  <si>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</si>
  <si>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</si>
  <si>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</si>
  <si>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</si>
  <si>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</si>
  <si>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</si>
  <si>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</si>
  <si>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</si>
  <si>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</si>
  <si>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</si>
  <si>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</si>
  <si>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</si>
  <si>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</si>
  <si>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</si>
  <si>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</si>
  <si>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</si>
  <si>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</si>
  <si>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</si>
  <si>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</si>
  <si>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</si>
  <si>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</si>
  <si>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</si>
  <si>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</si>
  <si>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</si>
  <si>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</si>
  <si>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</si>
  <si>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</si>
  <si>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</si>
  <si>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</si>
  <si>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</si>
  <si>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</si>
  <si>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</si>
  <si>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</si>
  <si>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</si>
  <si>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</si>
  <si>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</si>
  <si>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</si>
  <si>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</si>
  <si>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</si>
  <si>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</si>
  <si>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</si>
  <si>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</si>
  <si>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</si>
  <si>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</si>
  <si>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</si>
  <si>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</si>
  <si>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</si>
  <si>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</si>
  <si>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</si>
  <si>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</si>
  <si>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</si>
  <si>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</si>
  <si>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</si>
  <si>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</si>
  <si>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</si>
  <si>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</si>
  <si>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</si>
  <si>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</si>
  <si>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</si>
  <si>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</si>
  <si>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</si>
  <si>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</si>
  <si>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</si>
  <si>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</si>
  <si>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</si>
  <si>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</si>
  <si>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</si>
  <si>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</si>
  <si>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</si>
  <si>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</si>
  <si>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</si>
  <si>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</si>
  <si>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</si>
  <si>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</si>
  <si>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</si>
  <si>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</si>
  <si>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</si>
  <si>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</si>
  <si>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</si>
  <si>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</si>
  <si>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</si>
  <si>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</si>
  <si>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</si>
  <si>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</si>
  <si>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</si>
  <si>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</si>
  <si>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</si>
  <si>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</si>
  <si>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</si>
  <si>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</si>
  <si>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</si>
  <si>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</si>
  <si>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</si>
  <si>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</si>
  <si>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</si>
  <si>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</si>
  <si>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</si>
  <si>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</si>
  <si>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</si>
  <si>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</si>
  <si>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</si>
  <si>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</si>
  <si>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</si>
  <si>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</si>
  <si>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</si>
  <si>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</si>
  <si>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</si>
  <si>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</si>
  <si>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</si>
  <si>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</si>
  <si>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</si>
  <si>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</si>
  <si>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</si>
  <si>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</si>
  <si>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</si>
  <si>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</si>
  <si>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</si>
  <si>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</si>
  <si>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</si>
  <si>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</si>
  <si>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</si>
  <si>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</si>
  <si>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</si>
  <si>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</si>
  <si>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</si>
  <si>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</si>
  <si>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</si>
  <si>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</si>
  <si>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</si>
  <si>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</si>
  <si>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</si>
  <si>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</si>
  <si>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</si>
  <si>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</si>
  <si>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</si>
  <si>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</si>
  <si>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</si>
  <si>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</si>
  <si>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</si>
  <si>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</si>
  <si>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</si>
  <si>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</si>
  <si>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</si>
  <si>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</si>
  <si>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</si>
  <si>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</si>
  <si>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</si>
  <si>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</si>
  <si>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</si>
  <si>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</si>
  <si>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</si>
  <si>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</si>
  <si>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</si>
  <si>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</si>
  <si>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</si>
  <si>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</si>
  <si>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</si>
  <si>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</si>
  <si>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</si>
  <si>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</si>
  <si>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</si>
  <si>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</si>
  <si>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</si>
  <si>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</si>
  <si>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</si>
  <si>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</si>
  <si>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</si>
  <si>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</si>
  <si>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</si>
  <si>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</si>
  <si>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</si>
  <si>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</si>
  <si>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</si>
  <si>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</si>
  <si>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</si>
  <si>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</si>
  <si>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</si>
  <si>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</si>
  <si>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</si>
  <si>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</si>
  <si>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</si>
  <si>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</si>
  <si>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</si>
  <si>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</si>
  <si>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</si>
  <si>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</si>
  <si>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</si>
  <si>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</si>
  <si>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</si>
  <si>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</si>
  <si>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</si>
  <si>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</si>
  <si>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</si>
  <si>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</si>
  <si>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</si>
  <si>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</si>
  <si>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</si>
  <si>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</si>
  <si>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</si>
  <si>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</si>
  <si>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</si>
  <si>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</si>
  <si>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</si>
  <si>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</si>
  <si>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</si>
  <si>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</si>
  <si>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</si>
  <si>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</si>
  <si>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</si>
  <si>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</si>
  <si>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</si>
  <si>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</si>
  <si>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</si>
  <si>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</si>
  <si>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</si>
  <si>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</si>
  <si>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</si>
  <si>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</si>
  <si>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</si>
  <si>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</si>
  <si>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</si>
  <si>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</si>
  <si>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</si>
  <si>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</si>
  <si>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</si>
  <si>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</si>
  <si>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</si>
  <si>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</si>
  <si>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</si>
  <si>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</si>
  <si>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</si>
  <si>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</si>
  <si>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</si>
  <si>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</si>
  <si>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</si>
  <si>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</si>
  <si>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</si>
  <si>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</si>
  <si>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</si>
  <si>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</si>
  <si>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</si>
  <si>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</si>
  <si>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</si>
  <si>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</si>
  <si>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</si>
  <si>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</si>
  <si>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</si>
  <si>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</si>
  <si>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</si>
  <si>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</si>
  <si>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</si>
  <si>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</si>
  <si>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</si>
  <si>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</si>
  <si>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</si>
  <si>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</si>
  <si>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</si>
  <si>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</si>
  <si>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</si>
  <si>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</si>
  <si>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</si>
  <si>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</si>
  <si>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</si>
  <si>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</si>
  <si>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</si>
  <si>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</si>
  <si>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</si>
  <si>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</si>
  <si>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</si>
  <si>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</si>
  <si>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</si>
  <si>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</si>
  <si>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</si>
  <si>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</si>
  <si>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</si>
  <si>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</si>
  <si>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</si>
  <si>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</si>
  <si>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</si>
  <si>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</si>
  <si>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</si>
  <si>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</si>
  <si>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</si>
  <si>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</si>
  <si>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</si>
  <si>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</si>
  <si>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</si>
  <si>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</si>
  <si>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</si>
  <si>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</si>
  <si>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</si>
  <si>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</si>
  <si>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</si>
  <si>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</si>
  <si>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</si>
  <si>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</si>
  <si>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</si>
  <si>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</si>
  <si>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</si>
  <si>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</si>
  <si>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</si>
  <si>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</si>
  <si>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</si>
  <si>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</si>
  <si>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</si>
  <si>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</si>
  <si>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</si>
  <si>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</si>
  <si>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</si>
  <si>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</si>
  <si>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</si>
  <si>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</si>
  <si>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</si>
  <si>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</si>
  <si>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</si>
  <si>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</si>
  <si>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</si>
  <si>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</si>
  <si>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</si>
  <si>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</si>
  <si>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</si>
  <si>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</si>
  <si>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</si>
  <si>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</si>
  <si>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</si>
  <si>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</si>
  <si>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</si>
  <si>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</si>
  <si>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</si>
  <si>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</si>
  <si>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</si>
  <si>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</si>
  <si>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</si>
  <si>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</si>
  <si>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</si>
  <si>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</si>
  <si>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</si>
  <si>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</si>
  <si>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</si>
  <si>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</si>
  <si>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</si>
  <si>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</si>
  <si>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</si>
  <si>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</si>
  <si>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</si>
  <si>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</si>
  <si>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</si>
  <si>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</si>
  <si>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</si>
  <si>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</si>
  <si>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</si>
  <si>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</si>
  <si>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</si>
  <si>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</si>
  <si>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</si>
  <si>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</si>
  <si>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</si>
  <si>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</si>
  <si>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</si>
  <si>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</si>
  <si>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</si>
  <si>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</si>
  <si>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</si>
  <si>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</si>
  <si>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</si>
  <si>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</si>
  <si>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</si>
  <si>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</si>
  <si>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</si>
  <si>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</si>
  <si>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</si>
  <si>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</si>
  <si>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</si>
  <si>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</si>
  <si>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</si>
  <si>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</si>
  <si>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</si>
  <si>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</si>
  <si>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</si>
  <si>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</si>
  <si>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</si>
  <si>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</si>
  <si>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</si>
  <si>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</si>
  <si>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</si>
  <si>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</si>
  <si>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</si>
  <si>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</si>
  <si>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</si>
  <si>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</si>
  <si>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</si>
  <si>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</si>
  <si>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</si>
  <si>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</si>
  <si>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</si>
  <si>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</si>
  <si>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</si>
  <si>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</si>
  <si>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</si>
  <si>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</si>
  <si>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</si>
  <si>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</si>
  <si>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</si>
  <si>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</si>
  <si>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</si>
  <si>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</si>
  <si>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</si>
  <si>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</si>
  <si>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</si>
  <si>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</si>
  <si>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</si>
  <si>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</si>
  <si>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</si>
  <si>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</si>
  <si>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</si>
  <si>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</si>
  <si>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</si>
  <si>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</si>
  <si>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</si>
  <si>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</si>
  <si>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</si>
  <si>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</si>
  <si>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</si>
  <si>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</si>
  <si>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</si>
  <si>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</si>
  <si>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</si>
  <si>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</si>
  <si>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</si>
  <si>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</si>
  <si>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</si>
  <si>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</si>
  <si>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</si>
  <si>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</si>
  <si>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</si>
  <si>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</si>
  <si>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</si>
  <si>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</si>
  <si>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</si>
  <si>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</si>
  <si>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</si>
  <si>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</si>
  <si>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</si>
  <si>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</si>
  <si>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</si>
  <si>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</si>
  <si>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</si>
  <si>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</si>
  <si>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</si>
  <si>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</si>
  <si>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</si>
  <si>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</si>
  <si>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</si>
  <si>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</si>
  <si>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</si>
  <si>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</si>
  <si>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</si>
  <si>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</si>
  <si>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</si>
  <si>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</si>
  <si>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</si>
  <si>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</si>
  <si>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</si>
  <si>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</si>
  <si>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</si>
  <si>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</si>
  <si>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</si>
  <si>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</si>
  <si>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</si>
  <si>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</si>
  <si>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</si>
  <si>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</si>
  <si>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</si>
  <si>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</si>
  <si>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</si>
  <si>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</si>
  <si>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</si>
  <si>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</si>
  <si>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</si>
  <si>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</si>
  <si>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</si>
  <si>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</si>
  <si>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</si>
  <si>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</si>
  <si>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</si>
  <si>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</si>
  <si>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</si>
  <si>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</si>
  <si>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</si>
  <si>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</si>
  <si>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</si>
  <si>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</si>
  <si>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</si>
  <si>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</si>
  <si>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</si>
  <si>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</si>
  <si>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</si>
  <si>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</si>
  <si>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</si>
  <si>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</si>
  <si>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</si>
  <si>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</si>
  <si>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</si>
  <si>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</si>
  <si>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</si>
  <si>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</si>
  <si>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</si>
  <si>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</si>
  <si>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</si>
  <si>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</si>
  <si>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</si>
  <si>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</si>
  <si>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</si>
  <si>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</si>
  <si>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</si>
  <si>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</si>
  <si>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</si>
  <si>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</si>
  <si>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</si>
  <si>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</si>
  <si>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</si>
  <si>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</si>
  <si>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</si>
  <si>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</si>
  <si>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</si>
  <si>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</si>
  <si>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</si>
  <si>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</si>
  <si>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</si>
  <si>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</si>
  <si>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</si>
  <si>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</si>
  <si>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</si>
  <si>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</si>
  <si>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</si>
  <si>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</si>
  <si>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</si>
  <si>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</si>
  <si>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</si>
  <si>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</si>
  <si>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</si>
  <si>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</si>
  <si>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</si>
  <si>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</si>
  <si>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</si>
  <si>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</si>
  <si>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</si>
  <si>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</si>
  <si>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</si>
  <si>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</si>
  <si>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</si>
  <si>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</si>
  <si>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</si>
  <si>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</si>
  <si>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</si>
  <si>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</si>
  <si>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</si>
  <si>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</si>
  <si>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</si>
  <si>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</si>
  <si>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</si>
  <si>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</si>
  <si>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</si>
  <si>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</si>
  <si>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</si>
  <si>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</si>
  <si>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</si>
  <si>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</si>
  <si>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</si>
  <si>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</si>
  <si>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</si>
  <si>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</si>
  <si>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</si>
  <si>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</si>
  <si>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</si>
  <si>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</si>
  <si>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</si>
  <si>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</si>
  <si>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</si>
  <si>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</si>
  <si>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</si>
  <si>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</si>
  <si>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</si>
  <si>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</si>
  <si>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</si>
  <si>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</si>
  <si>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</si>
  <si>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</si>
  <si>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</si>
  <si>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</si>
  <si>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</si>
  <si>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</si>
  <si>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</si>
  <si>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</si>
  <si>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</si>
  <si>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</si>
  <si>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</si>
  <si>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</si>
  <si>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</si>
  <si>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</si>
  <si>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</si>
  <si>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</si>
  <si>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</si>
  <si>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</si>
  <si>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</si>
  <si>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</si>
  <si>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</si>
  <si>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</si>
  <si>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</si>
  <si>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</si>
  <si>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</si>
  <si>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</si>
  <si>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</si>
  <si>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</si>
  <si>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</si>
  <si>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</si>
  <si>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</si>
  <si>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</si>
  <si>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</si>
  <si>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</si>
  <si>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</si>
  <si>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</si>
  <si>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</si>
  <si>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</si>
  <si>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</si>
  <si>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</si>
  <si>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</si>
  <si>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</si>
  <si>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</si>
  <si>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</si>
  <si>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</si>
  <si>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</si>
  <si>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</si>
  <si>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</si>
  <si>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</si>
  <si>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</si>
  <si>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</si>
  <si>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</si>
  <si>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</si>
  <si>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</si>
  <si>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</si>
  <si>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</si>
  <si>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</si>
  <si>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</si>
  <si>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</si>
  <si>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</si>
  <si>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</si>
  <si>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</si>
  <si>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</si>
  <si>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</si>
  <si>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</si>
  <si>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</si>
  <si>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</si>
  <si>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</si>
  <si>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</si>
  <si>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</si>
  <si>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</si>
  <si>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</si>
  <si>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</si>
  <si>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</si>
  <si>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</si>
  <si>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</si>
  <si>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</si>
  <si>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</si>
  <si>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</si>
  <si>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</si>
  <si>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</si>
  <si>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</si>
  <si>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</si>
  <si>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</si>
  <si>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</si>
  <si>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</si>
  <si>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</si>
  <si>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</si>
  <si>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</si>
  <si>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</si>
  <si>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</si>
  <si>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</si>
  <si>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</si>
  <si>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</si>
  <si>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</si>
  <si>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</si>
  <si>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</si>
  <si>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</si>
  <si>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</si>
  <si>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</si>
  <si>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</si>
  <si>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</si>
  <si>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</si>
  <si>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</si>
  <si>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</si>
  <si>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</si>
  <si>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</si>
  <si>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</si>
  <si>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</si>
  <si>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</si>
  <si>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</si>
  <si>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</si>
  <si>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</si>
  <si>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</si>
  <si>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</si>
  <si>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</si>
  <si>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</si>
  <si>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</si>
  <si>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</si>
  <si>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</si>
  <si>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</si>
  <si>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</si>
  <si>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</si>
  <si>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</si>
  <si>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</si>
  <si>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</si>
  <si>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</si>
  <si>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</si>
  <si>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</si>
  <si>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</si>
  <si>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</si>
  <si>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</si>
  <si>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</si>
  <si>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</si>
  <si>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</si>
  <si>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</si>
  <si>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</si>
  <si>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</si>
  <si>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</si>
  <si>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</si>
  <si>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</si>
  <si>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</si>
  <si>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</si>
  <si>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</si>
  <si>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</si>
  <si>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</si>
  <si>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</si>
  <si>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</si>
  <si>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</si>
  <si>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</si>
  <si>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</si>
  <si>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</si>
  <si>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</si>
  <si>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</si>
  <si>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</si>
  <si>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</si>
  <si>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</si>
  <si>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</si>
  <si>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</si>
  <si>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</si>
  <si>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</si>
  <si>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</si>
  <si>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</si>
  <si>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</si>
  <si>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</si>
  <si>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</si>
  <si>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</si>
  <si>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</si>
  <si>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</si>
  <si>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</si>
  <si>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</si>
  <si>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</si>
  <si>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</si>
  <si>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</si>
  <si>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</si>
  <si>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</si>
  <si>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</si>
  <si>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</si>
  <si>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</si>
  <si>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</si>
  <si>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</si>
  <si>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</si>
  <si>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</si>
  <si>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</si>
  <si>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</si>
  <si>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</si>
  <si>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</si>
  <si>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</si>
  <si>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</si>
  <si>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</si>
  <si>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</si>
  <si>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</si>
  <si>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</si>
  <si>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</si>
  <si>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</si>
  <si>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</si>
  <si>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</si>
  <si>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</si>
  <si>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</si>
  <si>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</si>
  <si>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</si>
  <si>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</si>
  <si>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</si>
  <si>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</si>
  <si>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</si>
  <si>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</si>
  <si>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</si>
  <si>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</si>
  <si>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</si>
  <si>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</si>
  <si>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</si>
  <si>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</si>
  <si>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</si>
  <si>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</si>
  <si>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</si>
  <si>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</si>
  <si>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</si>
  <si>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</si>
  <si>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</si>
  <si>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</si>
  <si>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</si>
  <si>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</si>
  <si>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</si>
  <si>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</si>
  <si>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</si>
  <si>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</si>
  <si>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</si>
  <si>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</si>
  <si>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</si>
  <si>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</si>
  <si>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</si>
  <si>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</si>
  <si>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</si>
  <si>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</si>
  <si>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</si>
  <si>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</si>
  <si>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</si>
  <si>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</si>
  <si>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</si>
  <si>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</si>
  <si>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</si>
  <si>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</si>
  <si>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</si>
  <si>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</si>
  <si>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</si>
  <si>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</si>
  <si>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</si>
  <si>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</si>
  <si>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</si>
  <si>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</si>
  <si>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</si>
  <si>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</si>
  <si>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</si>
  <si>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</si>
  <si>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</si>
  <si>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</si>
  <si>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</si>
  <si>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</si>
  <si>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</si>
  <si>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</si>
  <si>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</si>
  <si>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</si>
  <si>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</si>
  <si>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</si>
  <si>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</si>
  <si>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</si>
  <si>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</si>
  <si>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</si>
  <si>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</si>
  <si>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</si>
  <si>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</si>
  <si>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</si>
  <si>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</si>
  <si>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</si>
  <si>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</si>
  <si>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</si>
  <si>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</si>
  <si>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</si>
  <si>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</si>
  <si>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</si>
  <si>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</si>
  <si>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</si>
  <si>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</si>
  <si>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</si>
  <si>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</si>
  <si>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</si>
  <si>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</si>
  <si>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</si>
  <si>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</si>
  <si>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</si>
  <si>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</si>
  <si>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</si>
  <si>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</si>
  <si>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</si>
  <si>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</si>
  <si>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</si>
  <si>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</si>
  <si>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</si>
  <si>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</si>
  <si>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</si>
  <si>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</si>
  <si>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</si>
  <si>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</si>
  <si>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</si>
  <si>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</si>
  <si>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</si>
  <si>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</si>
  <si>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</si>
  <si>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</si>
  <si>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</si>
  <si>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</si>
  <si>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</si>
  <si>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</si>
  <si>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</si>
  <si>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</si>
  <si>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</si>
  <si>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</si>
  <si>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</si>
  <si>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</si>
  <si>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</si>
  <si>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</si>
  <si>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</si>
  <si>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</si>
  <si>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</si>
  <si>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</si>
  <si>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</si>
  <si>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</si>
  <si>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</si>
  <si>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</si>
  <si>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</si>
  <si>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</si>
  <si>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</si>
  <si>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</si>
  <si>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</si>
  <si>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</si>
  <si>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</si>
  <si>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</si>
  <si>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</si>
  <si>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</si>
  <si>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</si>
  <si>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</si>
  <si>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</si>
  <si>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</si>
  <si>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</si>
  <si>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</si>
  <si>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</si>
  <si>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</si>
  <si>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</si>
  <si>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</si>
  <si>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</si>
  <si>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</si>
  <si>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</si>
  <si>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</si>
  <si>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</si>
  <si>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</si>
  <si>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</si>
  <si>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</si>
  <si>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</si>
  <si>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</si>
  <si>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</si>
  <si>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</si>
  <si>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</si>
  <si>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</si>
  <si>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</si>
  <si>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</si>
  <si>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</si>
  <si>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</si>
  <si>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</si>
  <si>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</si>
  <si>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</si>
  <si>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</si>
  <si>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</si>
  <si>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</si>
  <si>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</si>
  <si>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</si>
  <si>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</si>
  <si>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</si>
  <si>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</si>
  <si>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</si>
  <si>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</si>
  <si>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</si>
  <si>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</si>
  <si>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</si>
  <si>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</si>
  <si>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</si>
  <si>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</si>
  <si>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</si>
  <si>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</si>
  <si>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</si>
  <si>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</si>
  <si>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</si>
  <si>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</si>
  <si>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</si>
  <si>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</si>
  <si>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</si>
  <si>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</si>
  <si>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</si>
  <si>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</si>
  <si>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</si>
  <si>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</si>
  <si>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</si>
  <si>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</si>
  <si>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</si>
  <si>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</si>
  <si>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</si>
  <si>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</si>
  <si>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</si>
  <si>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</si>
  <si>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</si>
  <si>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</si>
  <si>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</si>
  <si>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</si>
  <si>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</si>
  <si>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</si>
  <si>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</si>
  <si>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</si>
  <si>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</si>
  <si>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</si>
  <si>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</si>
  <si>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</si>
  <si>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</si>
  <si>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</si>
  <si>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</si>
  <si>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</si>
  <si>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</si>
  <si>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</si>
  <si>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</si>
  <si>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</si>
  <si>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</si>
  <si>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</si>
  <si>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</si>
  <si>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</si>
  <si>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</si>
  <si>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</si>
  <si>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</si>
  <si>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</si>
  <si>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</si>
  <si>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</si>
  <si>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</si>
  <si>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</si>
  <si>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</si>
  <si>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</si>
  <si>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</si>
  <si>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</si>
  <si>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</si>
  <si>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</si>
  <si>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</si>
  <si>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</si>
  <si>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</si>
  <si>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</si>
  <si>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</si>
  <si>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</si>
  <si>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</si>
  <si>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</si>
  <si>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</si>
  <si>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</si>
  <si>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</si>
  <si>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</si>
  <si>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</si>
  <si>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</si>
  <si>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</si>
  <si>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</si>
  <si>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</si>
  <si>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</si>
  <si>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</si>
  <si>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</si>
  <si>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</si>
  <si>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</si>
  <si>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</si>
  <si>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</si>
  <si>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</si>
  <si>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</si>
  <si>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</si>
  <si>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</si>
  <si>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</si>
  <si>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</si>
  <si>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</si>
  <si>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</si>
  <si>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</si>
  <si>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</si>
  <si>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</si>
  <si>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</si>
  <si>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</si>
  <si>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</si>
  <si>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</si>
  <si>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</si>
  <si>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</si>
  <si>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</si>
  <si>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</si>
  <si>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</si>
  <si>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</si>
  <si>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</si>
  <si>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</si>
  <si>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</si>
  <si>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</si>
  <si>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</si>
  <si>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</si>
  <si>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</si>
  <si>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</si>
  <si>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</si>
  <si>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</si>
  <si>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</si>
  <si>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</si>
  <si>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</si>
  <si>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</si>
  <si>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</si>
  <si>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</si>
  <si>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</si>
  <si>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</si>
  <si>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</si>
  <si>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</si>
  <si>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</si>
  <si>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</si>
  <si>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</si>
  <si>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</si>
  <si>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</si>
  <si>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</si>
  <si>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</si>
  <si>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</si>
  <si>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</si>
  <si>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</si>
  <si>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</si>
  <si>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</si>
  <si>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</si>
  <si>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</si>
  <si>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</si>
  <si>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</si>
  <si>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</si>
  <si>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</si>
  <si>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</si>
  <si>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</si>
  <si>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</si>
  <si>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</si>
  <si>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</si>
  <si>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</si>
  <si>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</si>
  <si>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</si>
  <si>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</si>
  <si>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</si>
  <si>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</si>
  <si>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</si>
  <si>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</si>
  <si>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</si>
  <si>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</si>
  <si>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</si>
  <si>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</si>
  <si>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</si>
  <si>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</si>
  <si>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</si>
  <si>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</si>
  <si>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</si>
  <si>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</si>
  <si>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</si>
  <si>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</si>
  <si>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</si>
  <si>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</si>
  <si>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</si>
  <si>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</si>
  <si>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</si>
  <si>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</si>
  <si>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</si>
  <si>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</si>
  <si>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</si>
  <si>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</si>
  <si>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</si>
  <si>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</si>
  <si>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</si>
  <si>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</si>
  <si>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</si>
  <si>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</si>
  <si>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</si>
  <si>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</si>
  <si>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</si>
  <si>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</si>
  <si>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</si>
  <si>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</si>
  <si>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</si>
  <si>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</si>
  <si>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</si>
  <si>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</si>
  <si>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</si>
  <si>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</si>
  <si>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</si>
  <si>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</si>
  <si>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</si>
  <si>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</si>
  <si>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</si>
  <si>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</si>
  <si>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</si>
  <si>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</si>
  <si>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</si>
  <si>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</si>
  <si>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</si>
  <si>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</si>
  <si>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</si>
  <si>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</si>
  <si>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</si>
  <si>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</si>
  <si>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</si>
  <si>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</si>
  <si>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</si>
  <si>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</si>
  <si>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</si>
  <si>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</si>
  <si>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</si>
  <si>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</si>
  <si>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</si>
  <si>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</si>
  <si>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</si>
  <si>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</si>
  <si>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</si>
  <si>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</si>
  <si>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</si>
  <si>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</si>
  <si>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</si>
  <si>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</si>
  <si>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</si>
  <si>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</si>
  <si>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</si>
  <si>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</si>
  <si>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</si>
  <si>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</si>
  <si>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</si>
  <si>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</si>
  <si>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</si>
  <si>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</si>
  <si>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</si>
  <si>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</si>
  <si>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</si>
  <si>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</si>
  <si>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</si>
  <si>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</si>
  <si>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</si>
  <si>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</si>
  <si>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</si>
  <si>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</si>
  <si>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</si>
  <si>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</si>
  <si>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</si>
  <si>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</si>
  <si>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</si>
  <si>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</si>
  <si>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</si>
  <si>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</si>
  <si>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</si>
  <si>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</si>
  <si>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</si>
  <si>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</si>
  <si>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</si>
  <si>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</si>
  <si>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</si>
  <si>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</si>
  <si>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</si>
  <si>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</si>
  <si>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</si>
  <si>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</si>
  <si>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</si>
  <si>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</si>
  <si>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</si>
  <si>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</si>
  <si>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</si>
  <si>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</si>
  <si>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</si>
  <si>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</si>
  <si>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</si>
  <si>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</si>
  <si>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</si>
  <si>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</si>
  <si>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</si>
  <si>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</si>
  <si>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</si>
  <si>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</si>
  <si>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</si>
  <si>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</si>
  <si>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</si>
  <si>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</si>
  <si>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</si>
  <si>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</si>
  <si>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</si>
  <si>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</si>
  <si>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</si>
  <si>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</si>
  <si>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</si>
  <si>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</si>
  <si>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</si>
  <si>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</si>
  <si>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</si>
  <si>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</si>
  <si>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</si>
  <si>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</si>
  <si>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</si>
  <si>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</si>
  <si>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</si>
  <si>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</si>
  <si>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</si>
  <si>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</si>
  <si>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</si>
  <si>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</si>
  <si>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</si>
  <si>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</si>
  <si>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</si>
  <si>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</si>
  <si>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</si>
  <si>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</si>
  <si>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</si>
  <si>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</si>
  <si>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</si>
  <si>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</si>
  <si>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</si>
  <si>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</si>
  <si>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</si>
  <si>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</si>
  <si>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</si>
  <si>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</si>
  <si>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</si>
  <si>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</si>
  <si>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</si>
  <si>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</si>
  <si>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</si>
  <si>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</si>
  <si>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</si>
  <si>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</si>
  <si>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</si>
  <si>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</si>
  <si>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</si>
  <si>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</si>
  <si>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</si>
  <si>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</si>
  <si>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</si>
  <si>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</si>
  <si>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</si>
  <si>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</si>
  <si>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</si>
  <si>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</si>
  <si>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</si>
  <si>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</si>
  <si>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</si>
  <si>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</si>
  <si>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</si>
  <si>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</si>
  <si>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</si>
  <si>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</si>
  <si>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</si>
  <si>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</si>
  <si>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</si>
  <si>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</si>
  <si>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</si>
  <si>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</si>
  <si>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</si>
  <si>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</si>
  <si>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</si>
  <si>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</si>
  <si>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</si>
  <si>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</si>
  <si>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</si>
  <si>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</si>
  <si>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</si>
  <si>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</si>
  <si>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</si>
  <si>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</si>
  <si>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</si>
  <si>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</si>
  <si>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</si>
  <si>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</si>
  <si>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</si>
  <si>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</si>
  <si>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</si>
  <si>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</si>
  <si>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</si>
  <si>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</si>
  <si>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</si>
  <si>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</si>
  <si>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</si>
  <si>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</si>
  <si>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</si>
  <si>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</si>
  <si>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</si>
  <si>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</si>
  <si>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</si>
  <si>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</si>
  <si>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</si>
  <si>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</si>
  <si>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</si>
  <si>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</si>
  <si>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</si>
  <si>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</si>
  <si>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</si>
  <si>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</si>
  <si>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</si>
  <si>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</si>
  <si>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</si>
  <si>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</si>
  <si>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</si>
  <si>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</si>
  <si>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</si>
  <si>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</si>
  <si>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</si>
  <si>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</si>
  <si>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</si>
  <si>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</si>
  <si>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</si>
  <si>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</si>
  <si>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</si>
  <si>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</si>
  <si>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</si>
  <si>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</si>
  <si>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</si>
  <si>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</si>
  <si>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</si>
  <si>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</si>
  <si>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</si>
  <si>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</si>
  <si>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</si>
  <si>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</si>
  <si>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</si>
  <si>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</si>
  <si>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</si>
  <si>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</si>
  <si>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</si>
  <si>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</si>
  <si>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</si>
  <si>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</si>
  <si>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</si>
  <si>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</si>
  <si>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</si>
  <si>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</si>
  <si>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</si>
  <si>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</si>
  <si>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</si>
  <si>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</si>
  <si>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</si>
  <si>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</si>
  <si>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</si>
  <si>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</si>
  <si>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</si>
  <si>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</si>
  <si>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</si>
  <si>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</si>
  <si>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</si>
  <si>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</si>
  <si>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</si>
  <si>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</si>
  <si>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</si>
  <si>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</si>
  <si>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</si>
  <si>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</si>
  <si>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</si>
  <si>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</si>
  <si>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</si>
  <si>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</si>
  <si>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</si>
  <si>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</si>
  <si>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</si>
  <si>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</si>
  <si>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</si>
  <si>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</si>
  <si>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</si>
  <si>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</si>
  <si>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</si>
  <si>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</si>
  <si>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</si>
  <si>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</si>
  <si>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</si>
  <si>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</si>
  <si>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</si>
  <si>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</si>
  <si>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</si>
  <si>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</si>
  <si>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</si>
  <si>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</si>
  <si>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</si>
  <si>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</si>
  <si>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</si>
  <si>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</si>
  <si>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</si>
  <si>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</si>
  <si>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</si>
  <si>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</si>
  <si>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</si>
  <si>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</si>
  <si>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</si>
  <si>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</si>
  <si>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</si>
  <si>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</si>
  <si>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</si>
  <si>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</si>
  <si>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</si>
  <si>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</si>
  <si>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</si>
  <si>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</si>
  <si>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</si>
  <si>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</si>
  <si>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</si>
  <si>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</si>
  <si>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</si>
  <si>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</si>
  <si>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</si>
  <si>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</si>
  <si>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</si>
  <si>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</si>
  <si>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</si>
  <si>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</si>
  <si>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</si>
  <si>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</si>
  <si>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</si>
  <si>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</si>
  <si>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</si>
  <si>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</si>
  <si>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</si>
  <si>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</si>
  <si>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</si>
  <si>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</si>
  <si>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</si>
  <si>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</si>
  <si>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</si>
  <si>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</si>
  <si>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</si>
  <si>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</si>
  <si>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</si>
  <si>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</si>
  <si>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</si>
  <si>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</si>
  <si>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</si>
  <si>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</si>
  <si>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</si>
  <si>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</si>
  <si>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</si>
  <si>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</si>
  <si>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</si>
  <si>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</si>
  <si>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</si>
  <si>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</si>
  <si>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</si>
  <si>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</si>
  <si>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</si>
  <si>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</si>
  <si>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</si>
  <si>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</si>
  <si>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</si>
  <si>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</si>
  <si>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</si>
  <si>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</si>
  <si>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</si>
  <si>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</si>
  <si>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</si>
  <si>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</si>
  <si>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</si>
  <si>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</si>
  <si>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</si>
  <si>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</si>
  <si>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</si>
  <si>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</si>
  <si>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</si>
  <si>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</si>
  <si>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</si>
  <si>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</si>
  <si>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</si>
  <si>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</si>
  <si>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</si>
  <si>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</si>
  <si>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</si>
  <si>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</si>
  <si>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</si>
  <si>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</si>
  <si>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</si>
  <si>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</si>
  <si>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</si>
  <si>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</si>
  <si>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</si>
  <si>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</si>
  <si>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</si>
  <si>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</si>
  <si>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</si>
  <si>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</si>
  <si>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</si>
  <si>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</si>
  <si>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</si>
  <si>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</si>
  <si>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</si>
  <si>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</si>
  <si>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</si>
  <si>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</si>
  <si>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</si>
  <si>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</si>
  <si>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</si>
  <si>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</si>
  <si>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</si>
  <si>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</si>
  <si>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</si>
  <si>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</si>
  <si>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</si>
  <si>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</si>
  <si>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</si>
  <si>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</si>
  <si>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</si>
  <si>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</si>
  <si>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</si>
  <si>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</si>
  <si>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</si>
  <si>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</si>
  <si>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</si>
  <si>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</si>
  <si>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</si>
  <si>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</si>
  <si>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</si>
  <si>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</si>
  <si>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</si>
  <si>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</si>
  <si>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</si>
  <si>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</si>
  <si>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</si>
  <si>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</si>
  <si>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</si>
  <si>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</si>
  <si>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</si>
  <si>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</si>
  <si>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</si>
  <si>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</si>
  <si>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</si>
  <si>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</si>
  <si>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</si>
  <si>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</si>
  <si>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</si>
  <si>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</si>
  <si>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</si>
  <si>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</si>
  <si>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</si>
  <si>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</si>
  <si>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</si>
  <si>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</si>
  <si>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</si>
  <si>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</si>
  <si>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</si>
  <si>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</si>
  <si>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</si>
  <si>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</si>
  <si>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</si>
  <si>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</si>
  <si>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</si>
  <si>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</si>
  <si>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</si>
  <si>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</si>
  <si>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</si>
  <si>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</si>
  <si>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</si>
  <si>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</si>
  <si>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</si>
  <si>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</si>
  <si>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</si>
  <si>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</si>
  <si>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</si>
  <si>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</si>
  <si>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</si>
  <si>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</si>
  <si>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</si>
  <si>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</si>
  <si>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</si>
  <si>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</si>
  <si>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</si>
  <si>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</si>
  <si>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</si>
  <si>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</si>
  <si>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</si>
  <si>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</si>
  <si>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</si>
  <si>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</si>
  <si>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</si>
  <si>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</si>
  <si>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</si>
  <si>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</si>
  <si>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</si>
  <si>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</si>
  <si>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</si>
  <si>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</si>
  <si>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</si>
  <si>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</si>
  <si>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</si>
  <si>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</si>
  <si>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</si>
  <si>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</si>
  <si>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</si>
  <si>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</si>
  <si>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</si>
  <si>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</si>
  <si>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</si>
  <si>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</si>
  <si>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</si>
  <si>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</si>
  <si>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</si>
  <si>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</si>
  <si>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</si>
  <si>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</si>
  <si>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</si>
  <si>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</si>
  <si>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</si>
  <si>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</si>
  <si>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</si>
  <si>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</si>
  <si>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</si>
  <si>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</si>
  <si>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</si>
  <si>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</si>
  <si>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</si>
  <si>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</si>
  <si>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</si>
  <si>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</si>
  <si>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</si>
  <si>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</si>
  <si>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</si>
  <si>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</si>
  <si>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</si>
  <si>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</si>
  <si>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</si>
  <si>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</si>
  <si>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</si>
  <si>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</si>
  <si>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</si>
  <si>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</si>
  <si>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</si>
  <si>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</si>
  <si>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</si>
  <si>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</si>
  <si>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</si>
  <si>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</si>
  <si>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</si>
  <si>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</si>
  <si>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</si>
  <si>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</si>
  <si>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</si>
  <si>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</si>
  <si>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</si>
  <si>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</si>
  <si>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</si>
  <si>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</si>
  <si>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</si>
  <si>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</si>
  <si>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</si>
  <si>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</si>
  <si>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</si>
  <si>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</si>
  <si>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</si>
  <si>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</si>
  <si>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</si>
  <si>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</si>
  <si>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</si>
  <si>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</si>
  <si>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</si>
  <si>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</si>
  <si>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</si>
  <si>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</si>
  <si>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</si>
  <si>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</si>
  <si>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</si>
  <si>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</si>
  <si>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</si>
  <si>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</si>
  <si>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</si>
  <si>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</si>
  <si>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</si>
  <si>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</si>
  <si>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</si>
  <si>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</si>
  <si>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</si>
  <si>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</si>
  <si>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</si>
  <si>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</si>
  <si>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</si>
  <si>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</si>
  <si>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</si>
  <si>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</si>
  <si>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</si>
  <si>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</si>
  <si>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</si>
  <si>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</si>
  <si>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</si>
  <si>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</si>
  <si>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</si>
  <si>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</si>
  <si>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</si>
  <si>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</si>
  <si>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</si>
  <si>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</si>
  <si>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</si>
  <si>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</si>
  <si>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</si>
  <si>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</si>
  <si>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</si>
  <si>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</si>
  <si>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</si>
  <si>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</si>
  <si>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</si>
  <si>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</si>
  <si>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</si>
  <si>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</si>
  <si>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</si>
  <si>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</si>
  <si>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</si>
  <si>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</si>
  <si>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</si>
  <si>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</si>
  <si>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</si>
  <si>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</si>
  <si>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</si>
  <si>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</si>
  <si>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</si>
  <si>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</si>
  <si>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</si>
  <si>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</si>
  <si>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</si>
  <si>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</si>
  <si>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</si>
  <si>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</si>
  <si>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</si>
  <si>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</si>
  <si>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</si>
  <si>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</si>
  <si>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</si>
  <si>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</si>
  <si>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</si>
  <si>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</si>
  <si>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</si>
  <si>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</si>
  <si>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</si>
  <si>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</si>
  <si>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</si>
  <si>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</si>
  <si>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</si>
  <si>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</si>
  <si>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</si>
  <si>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</si>
  <si>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</si>
  <si>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</si>
  <si>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</si>
  <si>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</si>
  <si>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</si>
  <si>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</si>
  <si>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</si>
  <si>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</si>
  <si>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</si>
  <si>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</si>
  <si>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</si>
  <si>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</si>
  <si>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</si>
  <si>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</si>
  <si>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</si>
  <si>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</si>
  <si>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</si>
  <si>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</si>
  <si>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</si>
  <si>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</si>
  <si>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</si>
  <si>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</si>
  <si>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</si>
  <si>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</si>
  <si>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</si>
  <si>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</si>
  <si>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</si>
  <si>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</si>
  <si>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</si>
  <si>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</si>
  <si>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</si>
  <si>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</si>
  <si>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</si>
  <si>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</si>
  <si>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</si>
  <si>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</si>
  <si>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</si>
  <si>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</si>
  <si>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</si>
  <si>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</si>
  <si>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</si>
  <si>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</si>
  <si>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</si>
  <si>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</si>
  <si>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</si>
  <si>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</si>
  <si>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</si>
  <si>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</si>
  <si>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</si>
  <si>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</si>
  <si>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</si>
  <si>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</si>
  <si>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</si>
  <si>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</si>
  <si>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</si>
  <si>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</si>
  <si>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</si>
  <si>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</si>
  <si>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</si>
  <si>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</si>
  <si>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</si>
  <si>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</si>
  <si>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</si>
  <si>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</si>
  <si>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</si>
  <si>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</si>
  <si>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</si>
  <si>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</si>
  <si>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</si>
  <si>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</si>
  <si>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</si>
  <si>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</si>
  <si>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</si>
  <si>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</si>
  <si>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</si>
  <si>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</si>
  <si>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</si>
  <si>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</si>
  <si>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</si>
  <si>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</si>
  <si>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</si>
  <si>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</si>
  <si>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</si>
  <si>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</si>
  <si>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</si>
  <si>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</si>
  <si>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</si>
  <si>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</si>
  <si>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</si>
  <si>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</si>
  <si>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</si>
  <si>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</si>
  <si>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</si>
  <si>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</si>
  <si>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</si>
  <si>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</si>
  <si>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</si>
  <si>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</si>
  <si>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</si>
  <si>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</si>
  <si>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</si>
  <si>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</si>
  <si>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</si>
  <si>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</si>
  <si>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</si>
  <si>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</si>
  <si>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</si>
  <si>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</si>
  <si>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</si>
  <si>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</si>
  <si>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</si>
  <si>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</si>
  <si>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</si>
  <si>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</si>
  <si>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</si>
  <si>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</si>
  <si>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</si>
  <si>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</si>
  <si>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</si>
  <si>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</si>
  <si>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</si>
  <si>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</si>
  <si>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</si>
  <si>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</si>
  <si>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</si>
  <si>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</si>
  <si>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</si>
  <si>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</si>
  <si>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</si>
  <si>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</si>
  <si>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</si>
  <si>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</si>
  <si>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</si>
  <si>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</si>
  <si>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</si>
  <si>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</si>
  <si>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</si>
  <si>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</si>
  <si>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</si>
  <si>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</si>
  <si>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</si>
  <si>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</si>
  <si>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</si>
  <si>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</si>
  <si>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</si>
  <si>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</si>
  <si>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</si>
  <si>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</si>
  <si>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</si>
  <si>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</si>
  <si>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</si>
  <si>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</si>
  <si>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</si>
  <si>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</si>
  <si>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</si>
  <si>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</si>
  <si>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</si>
  <si>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</si>
  <si>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</si>
  <si>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</si>
  <si>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</si>
  <si>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</si>
  <si>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</si>
  <si>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</si>
  <si>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</si>
  <si>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</si>
  <si>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</si>
  <si>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</si>
  <si>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</si>
  <si>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</si>
  <si>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</si>
  <si>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</si>
  <si>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</si>
  <si>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</si>
  <si>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</si>
  <si>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</si>
  <si>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</si>
  <si>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</si>
  <si>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</si>
  <si>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</si>
  <si>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</si>
  <si>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</si>
  <si>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</si>
  <si>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</si>
  <si>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</si>
  <si>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</si>
  <si>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</si>
  <si>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</si>
  <si>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</si>
  <si>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</si>
  <si>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</si>
  <si>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</si>
  <si>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</si>
  <si>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</si>
  <si>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</si>
  <si>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</si>
  <si>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</si>
  <si>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</si>
  <si>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</si>
  <si>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</si>
  <si>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</si>
  <si>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</si>
  <si>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</si>
  <si>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</si>
  <si>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</si>
  <si>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</si>
  <si>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</si>
  <si>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</si>
  <si>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</si>
  <si>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</si>
  <si>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</si>
  <si>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</si>
  <si>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</si>
  <si>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</si>
  <si>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</si>
  <si>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</si>
  <si>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</si>
  <si>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</si>
  <si>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</si>
  <si>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</si>
  <si>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</si>
  <si>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</si>
  <si>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</si>
  <si>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</si>
  <si>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</si>
  <si>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</si>
  <si>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</si>
  <si>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</si>
  <si>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</si>
  <si>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</si>
  <si>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</si>
  <si>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</si>
  <si>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</si>
  <si>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</si>
  <si>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</si>
  <si>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</si>
  <si>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</si>
  <si>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</si>
  <si>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</si>
  <si>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</si>
  <si>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</si>
  <si>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</si>
  <si>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</si>
  <si>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</si>
  <si>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</si>
  <si>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</si>
  <si>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</si>
  <si>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</si>
  <si>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</si>
  <si>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</si>
  <si>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</si>
  <si>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</si>
  <si>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</si>
  <si>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</si>
  <si>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</si>
  <si>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</si>
  <si>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</si>
  <si>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</si>
  <si>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</si>
  <si>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</si>
  <si>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</si>
  <si>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</si>
  <si>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</si>
  <si>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</si>
  <si>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</si>
  <si>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</si>
  <si>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</si>
  <si>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</si>
  <si>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</si>
  <si>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</si>
  <si>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</si>
  <si>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</si>
  <si>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</si>
  <si>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</si>
  <si>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</si>
  <si>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</si>
  <si>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</si>
  <si>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</si>
  <si>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</si>
  <si>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</si>
  <si>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</si>
  <si>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</si>
  <si>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</si>
  <si>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</si>
  <si>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</si>
  <si>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</si>
  <si>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</si>
  <si>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</si>
  <si>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</si>
  <si>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</si>
  <si>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</si>
  <si>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</si>
  <si>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</si>
  <si>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</si>
  <si>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</si>
  <si>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</si>
  <si>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</si>
  <si>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</si>
  <si>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</si>
  <si>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</si>
  <si>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</si>
  <si>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</si>
  <si>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</si>
  <si>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</si>
  <si>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</si>
  <si>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</si>
  <si>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</si>
  <si>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</si>
  <si>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</si>
  <si>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</si>
  <si>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</si>
  <si>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</si>
  <si>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</si>
  <si>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</si>
  <si>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</si>
  <si>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</si>
  <si>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</si>
  <si>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</si>
  <si>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</si>
  <si>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</si>
  <si>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</si>
  <si>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</si>
  <si>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</si>
  <si>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</si>
  <si>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</si>
  <si>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</si>
  <si>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</si>
  <si>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</si>
  <si>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</si>
  <si>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</si>
  <si>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</si>
  <si>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</si>
  <si>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</si>
  <si>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</si>
  <si>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</si>
  <si>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</si>
  <si>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</si>
  <si>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</si>
  <si>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</si>
  <si>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</si>
  <si>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</si>
  <si>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</si>
  <si>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</si>
  <si>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</si>
  <si>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</si>
  <si>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</si>
  <si>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</si>
  <si>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</si>
  <si>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</si>
  <si>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</si>
  <si>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</si>
  <si>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</si>
  <si>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</si>
  <si>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</si>
  <si>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</si>
  <si>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</si>
  <si>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</si>
  <si>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</si>
  <si>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</si>
  <si>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</si>
  <si>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</si>
  <si>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</si>
  <si>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</si>
  <si>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</si>
  <si>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</si>
  <si>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</si>
  <si>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</si>
  <si>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</si>
  <si>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</si>
  <si>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</si>
  <si>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</si>
  <si>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</si>
  <si>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</si>
  <si>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</si>
  <si>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</si>
  <si>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</si>
  <si>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</si>
  <si>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</si>
  <si>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</si>
  <si>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</si>
  <si>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</si>
  <si>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</si>
  <si>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</si>
  <si>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</si>
  <si>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</si>
  <si>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</si>
  <si>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</si>
  <si>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</si>
  <si>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</si>
  <si>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</si>
  <si>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</si>
  <si>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</si>
  <si>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</si>
  <si>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</si>
  <si>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</si>
  <si>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</si>
  <si>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</si>
  <si>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</si>
  <si>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</si>
  <si>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</si>
  <si>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</si>
  <si>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</si>
  <si>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</si>
  <si>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</si>
  <si>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</si>
  <si>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</si>
  <si>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</si>
  <si>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</si>
  <si>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</si>
  <si>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</si>
  <si>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</si>
  <si>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</si>
  <si>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</si>
  <si>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</si>
  <si>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</si>
  <si>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</si>
  <si>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</si>
  <si>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</si>
  <si>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</si>
  <si>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</si>
  <si>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</si>
  <si>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</si>
  <si>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</si>
  <si>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</si>
  <si>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</si>
  <si>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</si>
  <si>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</si>
  <si>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</si>
  <si>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</si>
  <si>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</si>
  <si>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</si>
  <si>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</si>
  <si>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</si>
  <si>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</si>
  <si>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</si>
  <si>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</si>
  <si>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</si>
  <si>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</si>
  <si>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</si>
  <si>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</si>
  <si>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</si>
  <si>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</si>
  <si>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</si>
  <si>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</si>
  <si>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</si>
  <si>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</si>
  <si>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</si>
  <si>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</si>
  <si>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</si>
  <si>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</si>
  <si>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</si>
  <si>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</si>
  <si>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</si>
  <si>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</si>
  <si>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</si>
  <si>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</si>
  <si>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</si>
  <si>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</si>
  <si>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</si>
  <si>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</si>
  <si>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</si>
  <si>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</si>
  <si>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</si>
  <si>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</si>
  <si>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</si>
  <si>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</si>
  <si>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</si>
  <si>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</si>
  <si>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</si>
  <si>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</si>
  <si>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</si>
  <si>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</si>
  <si>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</si>
  <si>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</si>
  <si>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</si>
  <si>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</si>
  <si>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</si>
  <si>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</si>
  <si>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</si>
  <si>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</si>
  <si>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</si>
  <si>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</si>
  <si>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</si>
  <si>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</si>
  <si>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</si>
  <si>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</si>
  <si>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</si>
  <si>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</si>
  <si>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</si>
  <si>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</si>
  <si>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</si>
  <si>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</si>
  <si>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</si>
  <si>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</si>
  <si>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</si>
  <si>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</si>
  <si>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</si>
  <si>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</si>
  <si>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</si>
  <si>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</si>
  <si>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</si>
  <si>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</si>
  <si>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</si>
  <si>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</si>
  <si>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</si>
  <si>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</si>
  <si>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</si>
  <si>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</si>
  <si>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</si>
  <si>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</si>
  <si>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</si>
  <si>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</si>
  <si>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</si>
  <si>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</si>
  <si>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</si>
  <si>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</si>
  <si>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</si>
  <si>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</si>
  <si>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</si>
  <si>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</si>
  <si>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</si>
  <si>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</si>
  <si>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</si>
  <si>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</si>
  <si>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</si>
  <si>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</si>
  <si>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</si>
  <si>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</si>
  <si>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</si>
  <si>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</si>
  <si>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</si>
  <si>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</si>
  <si>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</si>
  <si>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</si>
  <si>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</si>
  <si>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</si>
  <si>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</si>
  <si>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</si>
  <si>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</si>
  <si>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</si>
  <si>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</si>
  <si>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</si>
  <si>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</si>
  <si>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</si>
  <si>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</si>
  <si>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</si>
  <si>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</si>
  <si>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</si>
  <si>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</si>
  <si>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</si>
  <si>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</si>
  <si>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</si>
  <si>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</si>
  <si>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</si>
  <si>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</si>
  <si>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</si>
  <si>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</si>
  <si>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</si>
  <si>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</si>
  <si>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</si>
  <si>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</si>
  <si>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</si>
  <si>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</si>
  <si>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</si>
  <si>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</si>
  <si>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</si>
  <si>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</si>
  <si>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</si>
  <si>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</si>
  <si>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</si>
  <si>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</si>
  <si>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</si>
  <si>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</si>
  <si>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</si>
  <si>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</si>
  <si>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</si>
  <si>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</si>
  <si>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</si>
  <si>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</si>
  <si>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</si>
  <si>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</si>
  <si>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</si>
  <si>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</si>
  <si>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</si>
  <si>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</si>
  <si>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</si>
  <si>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</si>
  <si>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</si>
  <si>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</si>
  <si>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</si>
  <si>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</si>
  <si>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</si>
  <si>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</si>
  <si>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</si>
  <si>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</si>
  <si>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</si>
  <si>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</si>
  <si>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</si>
  <si>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</si>
  <si>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</si>
  <si>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</si>
  <si>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</si>
  <si>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</si>
  <si>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</si>
  <si>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</si>
  <si>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</si>
  <si>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</si>
  <si>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</si>
  <si>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</si>
  <si>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</si>
  <si>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</si>
  <si>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</si>
  <si>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</si>
  <si>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</si>
  <si>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</si>
  <si>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</si>
  <si>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</si>
  <si>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</si>
  <si>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</si>
  <si>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</si>
  <si>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</si>
  <si>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</si>
  <si>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</si>
  <si>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</si>
  <si>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</si>
  <si>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</si>
  <si>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</si>
  <si>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</si>
  <si>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</si>
  <si>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</si>
  <si>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</si>
  <si>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</si>
  <si>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</si>
  <si>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</si>
  <si>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</si>
  <si>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</si>
  <si>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</si>
  <si>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</si>
  <si>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</si>
  <si>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</si>
  <si>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</si>
  <si>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</si>
  <si>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</si>
  <si>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</si>
  <si>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</si>
  <si>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</si>
  <si>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</si>
  <si>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</si>
  <si>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</si>
  <si>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</si>
  <si>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</si>
  <si>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</si>
  <si>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</si>
  <si>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</si>
  <si>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</si>
  <si>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</si>
  <si>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</si>
  <si>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</si>
  <si>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</si>
  <si>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</si>
  <si>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</si>
  <si>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</si>
  <si>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</si>
  <si>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</si>
  <si>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</si>
  <si>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</si>
  <si>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</si>
  <si>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</si>
  <si>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</si>
  <si>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</si>
  <si>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</si>
  <si>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</si>
  <si>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</si>
  <si>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</si>
  <si>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</si>
  <si>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</si>
  <si>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</si>
  <si>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</si>
  <si>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</si>
  <si>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</si>
  <si>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</si>
  <si>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</si>
  <si>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</si>
  <si>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</si>
  <si>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</si>
  <si>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</si>
  <si>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</si>
  <si>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</si>
  <si>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</si>
  <si>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</si>
  <si>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</si>
  <si>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</si>
  <si>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</si>
  <si>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</si>
  <si>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</si>
  <si>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</si>
  <si>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</si>
  <si>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</si>
  <si>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</si>
  <si>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</si>
  <si>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</si>
  <si>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</si>
  <si>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</si>
  <si>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</si>
  <si>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</si>
  <si>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</si>
  <si>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</si>
  <si>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</si>
  <si>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</si>
  <si>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</si>
  <si>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</si>
  <si>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</si>
  <si>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</si>
  <si>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</si>
  <si>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</si>
  <si>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</si>
  <si>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</si>
  <si>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</si>
  <si>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</si>
  <si>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</si>
  <si>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</si>
  <si>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</si>
  <si>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</si>
  <si>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</si>
  <si>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</si>
  <si>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</si>
  <si>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</si>
  <si>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</si>
  <si>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</si>
  <si>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</si>
  <si>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</si>
  <si>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</si>
  <si>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</si>
  <si>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</si>
  <si>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</si>
  <si>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</si>
  <si>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</si>
  <si>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</si>
  <si>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</si>
  <si>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</si>
  <si>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</si>
  <si>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</si>
  <si>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</si>
  <si>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</si>
  <si>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</si>
  <si>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</si>
  <si>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</si>
  <si>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</si>
  <si>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</si>
  <si>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</si>
  <si>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</si>
  <si>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</si>
  <si>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</si>
  <si>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</si>
  <si>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</si>
  <si>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</si>
  <si>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</si>
  <si>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</si>
  <si>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</si>
  <si>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</si>
  <si>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</si>
  <si>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</si>
  <si>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</si>
  <si>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</si>
  <si>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</si>
  <si>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</si>
  <si>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</si>
  <si>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</si>
  <si>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</si>
  <si>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</si>
  <si>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</si>
  <si>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</si>
  <si>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</si>
  <si>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</si>
  <si>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</si>
  <si>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</si>
  <si>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</si>
  <si>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</si>
  <si>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</si>
  <si>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</si>
  <si>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</si>
  <si>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</si>
  <si>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</si>
  <si>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</si>
  <si>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</si>
  <si>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</si>
  <si>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</si>
  <si>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</si>
  <si>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</si>
  <si>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</si>
  <si>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</si>
  <si>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</si>
  <si>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</si>
  <si>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</si>
  <si>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</si>
  <si>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</si>
  <si>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</si>
  <si>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</si>
  <si>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</si>
  <si>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</si>
  <si>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</si>
  <si>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</si>
  <si>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</si>
  <si>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</si>
  <si>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</si>
  <si>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</si>
  <si>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</si>
  <si>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</si>
  <si>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</si>
  <si>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</si>
  <si>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</si>
  <si>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</si>
  <si>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</si>
  <si>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</si>
  <si>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</si>
  <si>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</si>
  <si>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</si>
  <si>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</si>
  <si>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</si>
  <si>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</si>
  <si>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</si>
  <si>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</si>
  <si>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</si>
  <si>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</si>
  <si>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</si>
  <si>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</si>
  <si>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</si>
  <si>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</si>
  <si>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</si>
  <si>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</si>
  <si>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</si>
  <si>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</si>
  <si>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</si>
  <si>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</si>
  <si>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</si>
  <si>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</si>
  <si>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</si>
  <si>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</si>
  <si>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</si>
  <si>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</si>
  <si>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</si>
  <si>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</si>
  <si>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</si>
  <si>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</si>
  <si>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</si>
  <si>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</si>
  <si>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</si>
  <si>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</si>
  <si>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</si>
  <si>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</si>
  <si>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</si>
  <si>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</si>
  <si>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</si>
  <si>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</si>
  <si>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</si>
  <si>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</si>
  <si>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</si>
  <si>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</si>
  <si>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</si>
  <si>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</si>
  <si>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</si>
  <si>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</si>
  <si>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</si>
  <si>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</si>
  <si>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</si>
  <si>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</si>
  <si>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</si>
  <si>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</si>
  <si>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</si>
  <si>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</si>
  <si>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</si>
  <si>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</si>
  <si>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</si>
  <si>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</si>
  <si>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</si>
  <si>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</si>
  <si>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</si>
  <si>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</si>
  <si>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</si>
  <si>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</si>
  <si>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</si>
  <si>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</si>
  <si>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</si>
  <si>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</si>
  <si>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</si>
  <si>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</si>
  <si>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</si>
  <si>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</si>
  <si>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</si>
  <si>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</si>
  <si>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</si>
  <si>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</si>
  <si>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</si>
  <si>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</si>
  <si>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</si>
  <si>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</si>
  <si>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</si>
  <si>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</si>
  <si>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</si>
  <si>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</si>
  <si>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</si>
  <si>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</si>
  <si>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</si>
  <si>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</si>
  <si>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</si>
  <si>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</si>
  <si>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</si>
  <si>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</si>
  <si>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</si>
  <si>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</si>
  <si>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</si>
  <si>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</si>
  <si>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</si>
  <si>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</si>
  <si>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</si>
  <si>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</si>
  <si>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</si>
  <si>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</si>
  <si>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</si>
  <si>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</si>
  <si>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</si>
  <si>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</si>
  <si>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</si>
  <si>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</si>
  <si>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</si>
  <si>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</si>
  <si>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</si>
  <si>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</si>
  <si>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</si>
  <si>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</si>
  <si>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</si>
  <si>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</si>
  <si>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</si>
  <si>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</si>
  <si>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</si>
  <si>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</si>
  <si>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</si>
  <si>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</si>
  <si>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</si>
  <si>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</si>
  <si>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</si>
  <si>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</si>
  <si>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</si>
  <si>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</si>
  <si>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</si>
  <si>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</si>
  <si>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</si>
  <si>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</si>
  <si>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</si>
  <si>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</si>
  <si>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</si>
  <si>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</si>
  <si>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</si>
  <si>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</si>
  <si>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</si>
  <si>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</si>
  <si>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</si>
  <si>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</si>
  <si>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</si>
  <si>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</si>
  <si>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</si>
  <si>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</si>
  <si>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</si>
  <si>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</si>
  <si>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</si>
  <si>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</si>
  <si>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</si>
  <si>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</si>
  <si>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</si>
  <si>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</si>
  <si>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</si>
  <si>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</si>
  <si>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</si>
  <si>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</si>
  <si>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</si>
  <si>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</si>
  <si>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</si>
  <si>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</si>
  <si>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</si>
  <si>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</si>
  <si>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</si>
  <si>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</si>
  <si>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</si>
  <si>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</si>
  <si>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</si>
  <si>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</si>
  <si>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</si>
  <si>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</si>
  <si>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</si>
  <si>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</si>
  <si>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</si>
  <si>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</si>
  <si>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</si>
  <si>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</si>
  <si>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</si>
  <si>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</si>
  <si>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</si>
  <si>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</si>
  <si>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</si>
  <si>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</si>
  <si>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</si>
  <si>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</si>
  <si>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</si>
  <si>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</si>
  <si>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</si>
  <si>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</si>
  <si>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</si>
  <si>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</si>
  <si>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</si>
  <si>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</si>
  <si>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</si>
  <si>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</si>
  <si>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</si>
  <si>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</si>
  <si>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</si>
  <si>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</si>
  <si>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</si>
  <si>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</si>
  <si>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</si>
  <si>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</si>
  <si>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</si>
  <si>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</si>
  <si>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</si>
  <si>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</si>
  <si>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</si>
  <si>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</si>
  <si>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</si>
  <si>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</si>
  <si>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</si>
  <si>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</si>
  <si>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</si>
  <si>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</si>
  <si>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</si>
  <si>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</si>
  <si>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</si>
  <si>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</si>
  <si>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</si>
  <si>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</si>
  <si>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</si>
  <si>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</si>
  <si>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</si>
  <si>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</si>
  <si>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</si>
  <si>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</si>
  <si>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</si>
  <si>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</si>
  <si>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</si>
  <si>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</si>
  <si>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</si>
  <si>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</si>
  <si>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</si>
  <si>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</si>
  <si>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</si>
  <si>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</si>
  <si>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</si>
  <si>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</si>
  <si>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</si>
  <si>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</si>
  <si>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</si>
  <si>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</si>
  <si>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</si>
  <si>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</si>
  <si>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</si>
  <si>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</si>
  <si>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</si>
  <si>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</si>
  <si>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</si>
  <si>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</si>
  <si>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</si>
  <si>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</si>
  <si>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</si>
  <si>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</si>
  <si>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</si>
  <si>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</si>
  <si>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</si>
  <si>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</si>
  <si>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</si>
  <si>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</si>
  <si>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</si>
  <si>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</si>
  <si>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</si>
  <si>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</si>
  <si>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</si>
  <si>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</si>
  <si>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</si>
  <si>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</si>
  <si>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</si>
  <si>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</si>
  <si>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</si>
  <si>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</si>
  <si>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</si>
  <si>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</si>
  <si>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</si>
  <si>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</si>
  <si>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</si>
  <si>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</si>
  <si>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</si>
  <si>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</si>
  <si>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</si>
  <si>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</si>
  <si>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</si>
  <si>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</si>
  <si>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</si>
  <si>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</si>
  <si>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</si>
  <si>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</si>
  <si>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</si>
  <si>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</si>
  <si>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</si>
  <si>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</si>
  <si>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</si>
  <si>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</si>
  <si>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</si>
  <si>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</si>
  <si>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</si>
  <si>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</si>
  <si>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</si>
  <si>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</si>
  <si>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</si>
  <si>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</si>
  <si>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</si>
  <si>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</si>
  <si>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</si>
  <si>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</si>
  <si>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</si>
  <si>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</si>
  <si>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</si>
  <si>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</si>
  <si>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</si>
  <si>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</si>
  <si>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</si>
  <si>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</si>
  <si>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</si>
  <si>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</si>
  <si>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</si>
  <si>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</si>
  <si>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</si>
  <si>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</si>
  <si>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</si>
  <si>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</si>
  <si>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</si>
  <si>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</si>
  <si>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</si>
  <si>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</si>
  <si>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</si>
  <si>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</si>
  <si>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</si>
  <si>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</si>
  <si>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</si>
  <si>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</si>
  <si>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</si>
  <si>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</si>
  <si>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</si>
  <si>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</si>
  <si>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</si>
  <si>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</si>
  <si>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</si>
  <si>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</si>
  <si>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</si>
  <si>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</si>
  <si>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</si>
  <si>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</si>
  <si>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</si>
  <si>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</si>
  <si>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</si>
  <si>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</si>
  <si>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</si>
  <si>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</si>
  <si>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</si>
  <si>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</si>
  <si>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</si>
  <si>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</si>
  <si>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</si>
  <si>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</si>
  <si>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</si>
  <si>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</si>
  <si>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</si>
  <si>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</si>
  <si>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</si>
  <si>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</si>
  <si>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</si>
  <si>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</si>
  <si>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</si>
  <si>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</si>
  <si>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</si>
  <si>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</si>
  <si>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</si>
  <si>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</si>
  <si>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</si>
  <si>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</si>
  <si>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</si>
  <si>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</si>
  <si>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</si>
  <si>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</si>
  <si>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</si>
  <si>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</si>
  <si>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</si>
  <si>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</si>
  <si>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</si>
  <si>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</si>
  <si>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</si>
  <si>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</si>
  <si>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</si>
  <si>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</si>
  <si>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</si>
  <si>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</si>
  <si>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</si>
  <si>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</si>
  <si>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</si>
  <si>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</si>
  <si>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</si>
  <si>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</si>
  <si>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</si>
  <si>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</si>
  <si>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</si>
  <si>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</si>
  <si>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</si>
  <si>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</si>
  <si>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</si>
  <si>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</si>
  <si>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</si>
  <si>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</si>
  <si>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</si>
  <si>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</si>
  <si>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</si>
  <si>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</si>
  <si>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</si>
  <si>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</si>
  <si>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</si>
  <si>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</si>
  <si>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</si>
  <si>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</si>
  <si>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</si>
  <si>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</si>
  <si>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</si>
  <si>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</si>
  <si>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</si>
  <si>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</si>
  <si>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</si>
  <si>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</si>
  <si>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</si>
  <si>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</si>
  <si>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</si>
  <si>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</si>
  <si>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</si>
  <si>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</si>
  <si>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</si>
  <si>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</si>
  <si>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</si>
  <si>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</si>
  <si>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</si>
  <si>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</si>
  <si>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</si>
  <si>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</si>
  <si>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</si>
  <si>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</si>
  <si>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</si>
  <si>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</si>
  <si>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</si>
  <si>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</si>
  <si>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</si>
  <si>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</si>
  <si>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</si>
  <si>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</si>
  <si>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</si>
  <si>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</si>
  <si>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</si>
  <si>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</si>
  <si>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</si>
  <si>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</si>
  <si>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</si>
  <si>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</si>
  <si>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</si>
  <si>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</si>
  <si>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</si>
  <si>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</si>
  <si>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</si>
  <si>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</si>
  <si>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</si>
  <si>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</si>
  <si>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</si>
  <si>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</si>
  <si>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</si>
  <si>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</si>
  <si>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</si>
  <si>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</si>
  <si>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</si>
  <si>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</si>
  <si>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</si>
  <si>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</si>
  <si>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</si>
  <si>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</si>
  <si>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</si>
  <si>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</si>
  <si>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</si>
  <si>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</si>
  <si>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</si>
  <si>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</si>
  <si>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</si>
  <si>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</si>
  <si>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</si>
  <si>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</si>
  <si>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</si>
  <si>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</si>
  <si>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</si>
  <si>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</si>
  <si>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</si>
  <si>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</si>
  <si>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</si>
  <si>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</si>
  <si>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</si>
  <si>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</si>
  <si>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</si>
  <si>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</si>
  <si>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</si>
  <si>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</si>
  <si>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</si>
  <si>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</si>
  <si>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</si>
  <si>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</si>
  <si>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</si>
  <si>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</si>
  <si>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</si>
  <si>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</si>
  <si>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</si>
  <si>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</si>
  <si>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</si>
  <si>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</si>
  <si>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</si>
  <si>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</si>
  <si>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</si>
  <si>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</si>
  <si>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</si>
  <si>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</si>
  <si>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</si>
  <si>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</si>
  <si>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</si>
  <si>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</si>
  <si>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</si>
  <si>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</si>
  <si>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</si>
  <si>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</si>
  <si>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</si>
  <si>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</si>
  <si>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</si>
  <si>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</si>
  <si>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</si>
  <si>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</si>
  <si>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</si>
  <si>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</si>
  <si>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</si>
  <si>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</si>
  <si>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</si>
  <si>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</si>
  <si>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</si>
  <si>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</si>
  <si>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</si>
  <si>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</si>
  <si>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</si>
  <si>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</si>
  <si>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</si>
  <si>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</si>
  <si>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</si>
  <si>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</si>
  <si>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</si>
  <si>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</si>
  <si>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</si>
  <si>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</si>
  <si>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</si>
  <si>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</si>
  <si>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</si>
  <si>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</si>
  <si>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</si>
  <si>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</si>
  <si>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</si>
  <si>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</si>
  <si>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</si>
  <si>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</si>
  <si>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</si>
  <si>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</si>
  <si>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</si>
  <si>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</si>
  <si>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</si>
  <si>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</si>
  <si>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</si>
  <si>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</si>
  <si>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</si>
  <si>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</si>
  <si>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</si>
  <si>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</si>
  <si>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</si>
  <si>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</si>
  <si>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</si>
  <si>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</si>
  <si>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</si>
  <si>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</si>
  <si>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</si>
  <si>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</si>
  <si>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</si>
  <si>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</si>
  <si>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</si>
  <si>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</si>
  <si>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</si>
  <si>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</si>
  <si>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</si>
  <si>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</si>
  <si>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</si>
  <si>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</si>
  <si>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</si>
  <si>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</si>
  <si>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</si>
  <si>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</si>
  <si>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</si>
  <si>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</si>
  <si>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</si>
  <si>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</si>
  <si>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</si>
  <si>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</si>
  <si>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</si>
  <si>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</si>
  <si>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</si>
  <si>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</si>
  <si>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</si>
  <si>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</si>
  <si>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</si>
  <si>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</si>
  <si>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</si>
  <si>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</si>
  <si>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</si>
  <si>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</si>
  <si>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</si>
  <si>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</si>
  <si>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</si>
  <si>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</si>
  <si>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</si>
  <si>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</si>
  <si>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</si>
  <si>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</si>
  <si>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</si>
  <si>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</si>
  <si>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</si>
  <si>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</si>
  <si>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</si>
  <si>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</si>
  <si>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</si>
  <si>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</si>
  <si>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</si>
  <si>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</si>
  <si>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</si>
  <si>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</si>
  <si>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</si>
  <si>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</si>
  <si>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</si>
  <si>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</si>
  <si>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</si>
  <si>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</si>
  <si>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</si>
  <si>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</si>
  <si>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</si>
  <si>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</si>
  <si>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</si>
  <si>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</si>
  <si>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</si>
  <si>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</si>
  <si>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</si>
  <si>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</si>
  <si>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</si>
  <si>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</si>
  <si>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</si>
  <si>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</si>
  <si>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</si>
  <si>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</si>
  <si>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</si>
  <si>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</si>
  <si>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</si>
  <si>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</si>
  <si>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</si>
  <si>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</si>
  <si>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</si>
  <si>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</si>
  <si>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</si>
  <si>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</si>
  <si>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</si>
  <si>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</si>
  <si>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</si>
  <si>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</si>
  <si>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</si>
  <si>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</si>
  <si>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</si>
  <si>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</si>
  <si>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</si>
  <si>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</si>
  <si>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</si>
  <si>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</si>
  <si>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</si>
  <si>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</si>
  <si>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</si>
  <si>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</si>
  <si>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</si>
  <si>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</si>
  <si>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</si>
  <si>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</si>
  <si>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</si>
  <si>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</si>
  <si>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</si>
  <si>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</si>
  <si>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</si>
  <si>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</si>
  <si>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</si>
  <si>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</si>
  <si>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</si>
  <si>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</si>
  <si>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</si>
  <si>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</si>
  <si>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</si>
  <si>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</si>
  <si>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</si>
  <si>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</si>
  <si>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</si>
  <si>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</si>
  <si>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</si>
  <si>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</si>
  <si>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</si>
  <si>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</si>
  <si>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</si>
  <si>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</si>
  <si>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</si>
  <si>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</si>
  <si>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</si>
  <si>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</si>
  <si>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</si>
  <si>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</si>
  <si>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</si>
  <si>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</si>
  <si>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</si>
  <si>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</si>
  <si>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</si>
  <si>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</si>
  <si>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</si>
  <si>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</si>
  <si>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</si>
  <si>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</si>
  <si>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</si>
  <si>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</si>
  <si>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</si>
  <si>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</si>
  <si>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</si>
  <si>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</si>
  <si>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</si>
  <si>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</si>
  <si>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</si>
  <si>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</si>
  <si>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</si>
  <si>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</si>
  <si>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</si>
  <si>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</si>
  <si>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</si>
  <si>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</si>
  <si>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</si>
  <si>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</si>
  <si>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</si>
  <si>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</si>
  <si>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</si>
  <si>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</si>
  <si>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</si>
  <si>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</si>
  <si>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</si>
  <si>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</si>
  <si>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</si>
  <si>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</si>
  <si>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</si>
  <si>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</si>
  <si>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</si>
  <si>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</si>
  <si>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</si>
  <si>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</si>
  <si>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</si>
  <si>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</si>
  <si>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</si>
  <si>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</si>
  <si>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</si>
  <si>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</si>
  <si>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</si>
  <si>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</si>
  <si>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</si>
  <si>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</si>
  <si>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</si>
  <si>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</si>
  <si>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</si>
  <si>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</si>
  <si>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</si>
  <si>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</si>
  <si>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</si>
  <si>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</si>
  <si>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</si>
  <si>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</si>
  <si>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</si>
  <si>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</si>
  <si>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</si>
  <si>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</si>
  <si>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</si>
  <si>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</si>
  <si>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</si>
  <si>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</si>
  <si>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</si>
  <si>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</si>
  <si>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</si>
  <si>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</si>
  <si>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</si>
  <si>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</si>
  <si>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</si>
  <si>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</si>
  <si>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</si>
  <si>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</si>
  <si>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</si>
  <si>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</si>
  <si>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</si>
  <si>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</si>
  <si>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</si>
  <si>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</si>
  <si>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</si>
  <si>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</si>
  <si>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</si>
  <si>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</si>
  <si>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</si>
  <si>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</si>
  <si>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</si>
  <si>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</si>
  <si>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</si>
  <si>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</si>
  <si>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</si>
  <si>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</si>
  <si>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</si>
  <si>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</si>
  <si>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</si>
  <si>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</si>
  <si>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</si>
  <si>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</si>
  <si>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</si>
  <si>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</si>
  <si>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</si>
  <si>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</si>
  <si>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</si>
  <si>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</si>
  <si>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</si>
  <si>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</si>
  <si>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</si>
  <si>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</si>
  <si>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</si>
  <si>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</si>
  <si>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</si>
  <si>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</si>
  <si>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</si>
  <si>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</si>
  <si>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</si>
  <si>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</si>
  <si>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</si>
  <si>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</si>
  <si>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</si>
  <si>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</si>
  <si>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</si>
  <si>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</si>
  <si>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</si>
  <si>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</si>
  <si>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</si>
  <si>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</si>
  <si>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</si>
  <si>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</si>
  <si>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</si>
  <si>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</si>
  <si>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</si>
  <si>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</si>
  <si>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</si>
  <si>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</si>
  <si>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</si>
  <si>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</si>
  <si>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</si>
  <si>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</si>
  <si>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</si>
  <si>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</si>
  <si>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</si>
  <si>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</si>
  <si>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</si>
  <si>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</si>
  <si>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</si>
  <si>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</si>
  <si>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</si>
  <si>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</si>
  <si>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</si>
  <si>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</si>
  <si>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</si>
  <si>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</si>
  <si>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</si>
  <si>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</si>
  <si>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</si>
  <si>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</si>
  <si>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</si>
  <si>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</si>
  <si>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</si>
  <si>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</si>
  <si>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</si>
  <si>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</si>
  <si>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</si>
  <si>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</si>
  <si>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</si>
  <si>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</si>
  <si>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</si>
  <si>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</si>
  <si>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</si>
  <si>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</si>
  <si>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</si>
  <si>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</si>
  <si>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</si>
  <si>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</si>
  <si>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</si>
  <si>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</si>
  <si>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</si>
  <si>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</si>
  <si>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</si>
  <si>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</si>
  <si>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</si>
  <si>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</si>
  <si>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</si>
  <si>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</si>
  <si>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</si>
  <si>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</si>
  <si>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</si>
  <si>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</si>
  <si>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</si>
  <si>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</si>
  <si>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</si>
  <si>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</si>
  <si>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</si>
  <si>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</si>
  <si>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</si>
  <si>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</si>
  <si>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</si>
  <si>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</si>
  <si>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</si>
  <si>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</si>
  <si>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</si>
  <si>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</si>
  <si>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</si>
  <si>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</si>
  <si>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</si>
  <si>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</si>
  <si>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</si>
  <si>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</si>
  <si>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</si>
  <si>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</si>
  <si>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</si>
  <si>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</si>
  <si>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</si>
  <si>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</si>
  <si>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</si>
  <si>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</si>
  <si>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</si>
  <si>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</si>
  <si>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</si>
  <si>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</si>
  <si>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</si>
  <si>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</si>
  <si>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</si>
  <si>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</si>
  <si>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</si>
  <si>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</si>
  <si>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</si>
  <si>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</si>
  <si>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</si>
  <si>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</si>
  <si>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</si>
  <si>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</si>
  <si>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</si>
  <si>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</si>
  <si>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</si>
  <si>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</si>
  <si>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</si>
  <si>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</si>
  <si>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</si>
  <si>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</si>
  <si>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</si>
  <si>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</si>
  <si>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</si>
  <si>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</si>
  <si>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</si>
  <si>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</si>
  <si>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</si>
  <si>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</si>
  <si>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</si>
  <si>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</si>
  <si>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</si>
  <si>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</si>
  <si>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</si>
  <si>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</si>
  <si>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</si>
  <si>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</si>
  <si>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</si>
  <si>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</si>
  <si>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</si>
  <si>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</si>
  <si>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</si>
  <si>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</si>
  <si>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</si>
  <si>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</si>
  <si>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</si>
  <si>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</si>
  <si>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</si>
  <si>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</si>
  <si>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</si>
  <si>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</si>
  <si>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</si>
  <si>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</si>
  <si>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</si>
  <si>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</si>
  <si>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</si>
  <si>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</si>
  <si>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</si>
  <si>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</si>
  <si>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</si>
  <si>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</si>
  <si>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</si>
  <si>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</si>
  <si>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</si>
  <si>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</si>
  <si>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</si>
  <si>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</si>
  <si>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</si>
  <si>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</si>
  <si>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</si>
  <si>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</si>
  <si>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</si>
  <si>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</si>
  <si>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</si>
  <si>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</si>
  <si>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</si>
  <si>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</si>
  <si>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</si>
  <si>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</si>
  <si>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</si>
  <si>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</si>
  <si>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</si>
  <si>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</si>
  <si>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</si>
  <si>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</si>
  <si>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</si>
  <si>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</si>
  <si>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</si>
  <si>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</si>
  <si>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</si>
  <si>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</si>
  <si>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</si>
  <si>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</si>
  <si>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</si>
  <si>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</si>
  <si>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</si>
  <si>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</si>
  <si>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</si>
  <si>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</si>
  <si>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</si>
  <si>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</si>
  <si>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</si>
  <si>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</si>
  <si>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</si>
  <si>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</si>
  <si>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</si>
  <si>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</si>
  <si>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</si>
  <si>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</si>
  <si>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</si>
  <si>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</si>
  <si>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</si>
  <si>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</si>
  <si>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</si>
  <si>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</si>
  <si>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</si>
  <si>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</si>
  <si>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</si>
  <si>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</si>
  <si>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</si>
  <si>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</si>
  <si>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</si>
  <si>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</si>
  <si>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</si>
  <si>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</si>
  <si>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</si>
  <si>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</si>
  <si>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</si>
  <si>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</si>
  <si>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</si>
  <si>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</si>
  <si>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</si>
  <si>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</si>
  <si>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</si>
  <si>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</si>
  <si>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</si>
  <si>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</si>
  <si>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</si>
  <si>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</si>
  <si>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</si>
  <si>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</si>
  <si>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</si>
  <si>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</si>
  <si>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</si>
  <si>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</si>
  <si>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</si>
  <si>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</si>
  <si>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</si>
  <si>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</si>
  <si>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</si>
  <si>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</si>
  <si>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</si>
  <si>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</si>
  <si>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</si>
  <si>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</si>
  <si>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</si>
  <si>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</si>
  <si>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</si>
  <si>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</si>
  <si>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</si>
  <si>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</si>
  <si>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</si>
  <si>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</si>
  <si>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</si>
  <si>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</si>
  <si>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</si>
  <si>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</si>
  <si>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</si>
  <si>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</si>
  <si>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</si>
  <si>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</si>
  <si>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</si>
  <si>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</si>
  <si>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</si>
  <si>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</si>
  <si>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</si>
  <si>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</si>
  <si>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</si>
  <si>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</si>
  <si>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</si>
  <si>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</si>
  <si>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</si>
  <si>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</si>
  <si>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</si>
  <si>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</si>
  <si>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</si>
  <si>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</si>
  <si>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</si>
  <si>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</si>
  <si>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</si>
  <si>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</si>
  <si>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</si>
  <si>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</si>
  <si>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</si>
  <si>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</si>
  <si>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</si>
  <si>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</si>
  <si>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</si>
  <si>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</si>
  <si>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</si>
  <si>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</si>
  <si>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</si>
  <si>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</si>
  <si>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</si>
  <si>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</si>
  <si>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</si>
  <si>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</si>
  <si>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</si>
  <si>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</si>
  <si>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</si>
  <si>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</si>
  <si>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</si>
  <si>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</si>
  <si>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</si>
  <si>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</si>
  <si>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</si>
  <si>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</si>
  <si>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</si>
  <si>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</si>
  <si>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</si>
  <si>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</si>
  <si>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</si>
  <si>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</si>
  <si>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</si>
  <si>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</si>
  <si>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</si>
  <si>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</si>
  <si>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</si>
  <si>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</si>
  <si>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</si>
  <si>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</si>
  <si>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</si>
  <si>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</si>
  <si>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</si>
  <si>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</si>
  <si>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</si>
  <si>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</si>
  <si>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</si>
  <si>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</si>
  <si>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</si>
  <si>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</si>
  <si>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</si>
  <si>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</si>
  <si>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</si>
  <si>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</si>
  <si>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</si>
  <si>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</si>
  <si>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</si>
  <si>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</si>
  <si>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</si>
  <si>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</si>
  <si>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</si>
  <si>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</si>
  <si>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</si>
  <si>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</si>
  <si>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</si>
  <si>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</si>
  <si>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</si>
  <si>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</si>
  <si>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</si>
  <si>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</si>
  <si>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</si>
  <si>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</si>
  <si>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</si>
  <si>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</si>
  <si>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</si>
  <si>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</si>
  <si>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</si>
  <si>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</si>
  <si>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</si>
  <si>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</si>
  <si>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</si>
  <si>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</si>
  <si>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</si>
  <si>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</si>
  <si>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</si>
  <si>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</si>
  <si>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</si>
  <si>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</si>
  <si>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</si>
  <si>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</si>
  <si>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</si>
  <si>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</si>
  <si>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</si>
  <si>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</si>
  <si>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</si>
  <si>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</si>
  <si>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</si>
  <si>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</si>
  <si>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</si>
  <si>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</si>
  <si>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</si>
  <si>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</si>
  <si>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</si>
  <si>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</si>
  <si>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</si>
  <si>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</si>
  <si>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</si>
  <si>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</si>
  <si>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</si>
  <si>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</si>
  <si>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</si>
  <si>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</si>
  <si>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</si>
  <si>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</si>
  <si>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</si>
  <si>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</si>
  <si>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</si>
  <si>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</si>
  <si>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</si>
  <si>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</si>
  <si>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</si>
  <si>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</si>
  <si>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</si>
  <si>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</si>
  <si>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</si>
  <si>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</si>
  <si>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</si>
  <si>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</si>
  <si>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</si>
  <si>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</si>
  <si>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</si>
  <si>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</si>
  <si>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</si>
  <si>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</si>
  <si>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</si>
  <si>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</si>
  <si>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</si>
  <si>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</si>
  <si>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</si>
  <si>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</si>
  <si>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</si>
  <si>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</si>
  <si>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</si>
  <si>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</si>
  <si>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</si>
  <si>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</si>
  <si>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</si>
  <si>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</si>
  <si>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</si>
  <si>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</si>
  <si>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</si>
  <si>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</si>
  <si>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</si>
  <si>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</si>
  <si>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</si>
  <si>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</si>
  <si>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</si>
  <si>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</si>
  <si>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</si>
  <si>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</si>
  <si>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</si>
  <si>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</si>
  <si>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</si>
  <si>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</si>
  <si>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</si>
  <si>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</si>
  <si>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</si>
  <si>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</si>
  <si>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</si>
  <si>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</si>
  <si>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</si>
  <si>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</si>
  <si>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</si>
  <si>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</si>
  <si>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</si>
  <si>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</si>
  <si>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</si>
  <si>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</si>
  <si>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</si>
  <si>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</si>
  <si>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</si>
  <si>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</si>
  <si>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</si>
  <si>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</si>
  <si>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</si>
  <si>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</si>
  <si>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</si>
  <si>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</si>
  <si>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</si>
  <si>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</si>
  <si>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</si>
  <si>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</si>
  <si>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</si>
  <si>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</si>
  <si>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</si>
  <si>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</si>
  <si>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</si>
  <si>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</si>
  <si>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</si>
  <si>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</si>
  <si>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</si>
  <si>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</si>
  <si>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</si>
  <si>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</si>
  <si>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</si>
  <si>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</si>
  <si>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</si>
  <si>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</si>
  <si>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</si>
  <si>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</si>
  <si>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</si>
  <si>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</si>
  <si>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</si>
  <si>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</si>
  <si>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</si>
  <si>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</si>
  <si>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</si>
  <si>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</si>
  <si>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</si>
  <si>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</si>
  <si>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</si>
  <si>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</si>
  <si>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</si>
  <si>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</si>
  <si>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</si>
  <si>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</si>
  <si>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</si>
  <si>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</si>
  <si>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</si>
  <si>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</si>
  <si>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</si>
  <si>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</si>
  <si>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</si>
  <si>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</si>
  <si>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</si>
  <si>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</si>
  <si>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</si>
  <si>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</si>
  <si>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</si>
  <si>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</si>
  <si>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</si>
  <si>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</si>
  <si>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</si>
  <si>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</si>
  <si>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</si>
  <si>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</si>
  <si>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</si>
  <si>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</si>
  <si>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</si>
  <si>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</si>
  <si>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</si>
  <si>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</si>
  <si>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</si>
  <si>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</si>
  <si>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</si>
  <si>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</si>
  <si>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</si>
  <si>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</si>
  <si>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</si>
  <si>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</si>
  <si>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</si>
  <si>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</si>
  <si>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</si>
  <si>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</si>
  <si>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</si>
  <si>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</si>
  <si>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</si>
  <si>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</si>
  <si>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</si>
  <si>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</si>
  <si>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</si>
  <si>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</si>
  <si>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</si>
  <si>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</si>
  <si>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</si>
  <si>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</si>
  <si>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</si>
  <si>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</si>
  <si>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</si>
  <si>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</si>
  <si>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</si>
  <si>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</si>
  <si>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</si>
  <si>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</si>
  <si>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</si>
  <si>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</si>
  <si>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</si>
  <si>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</si>
  <si>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</si>
  <si>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</si>
  <si>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</si>
  <si>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</si>
  <si>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</si>
  <si>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</si>
  <si>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</si>
  <si>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</si>
  <si>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</si>
  <si>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</si>
  <si>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</si>
  <si>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</si>
  <si>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</si>
  <si>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</si>
  <si>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</si>
  <si>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</si>
  <si>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</si>
  <si>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</si>
  <si>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</si>
  <si>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</si>
  <si>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</si>
  <si>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</si>
  <si>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</si>
  <si>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</si>
  <si>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</si>
  <si>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</si>
  <si>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</si>
  <si>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</si>
  <si>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</si>
  <si>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</si>
  <si>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</si>
  <si>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</si>
  <si>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</si>
  <si>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</si>
  <si>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</si>
  <si>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</si>
  <si>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</si>
  <si>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</si>
  <si>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</si>
  <si>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</si>
  <si>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</si>
  <si>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</si>
  <si>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</si>
  <si>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</si>
  <si>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</si>
  <si>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</si>
  <si>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</si>
  <si>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</si>
  <si>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</si>
  <si>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</si>
  <si>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</si>
  <si>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</si>
  <si>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</si>
  <si>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</si>
  <si>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</si>
  <si>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</si>
  <si>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</si>
  <si>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</si>
  <si>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</si>
  <si>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</si>
  <si>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</si>
  <si>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</si>
  <si>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</si>
  <si>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</si>
  <si>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</si>
  <si>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</si>
  <si>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</si>
  <si>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</si>
  <si>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</si>
  <si>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</si>
  <si>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</si>
  <si>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</si>
  <si>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</si>
  <si>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</si>
  <si>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</si>
  <si>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</si>
  <si>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</si>
  <si>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</si>
  <si>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</si>
  <si>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</si>
  <si>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</si>
  <si>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</si>
  <si>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</si>
  <si>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</si>
  <si>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</si>
  <si>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</si>
  <si>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</si>
  <si>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</si>
  <si>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</si>
  <si>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</si>
  <si>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</si>
  <si>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</si>
  <si>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</si>
  <si>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</si>
  <si>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</si>
  <si>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</si>
  <si>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</si>
  <si>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</si>
  <si>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</si>
  <si>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</si>
  <si>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</si>
  <si>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</si>
  <si>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</si>
  <si>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</si>
  <si>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</si>
  <si>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</si>
  <si>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</si>
  <si>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</si>
  <si>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</si>
  <si>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</si>
  <si>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</si>
  <si>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</si>
  <si>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</si>
  <si>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</si>
  <si>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</si>
  <si>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</si>
  <si>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</si>
  <si>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</si>
  <si>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</si>
  <si>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</si>
  <si>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</si>
  <si>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</si>
  <si>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</si>
  <si>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</si>
  <si>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</si>
  <si>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</si>
  <si>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</si>
  <si>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</si>
  <si>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</si>
  <si>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</si>
  <si>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</si>
  <si>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</si>
  <si>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</si>
  <si>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</si>
  <si>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</si>
  <si>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</si>
  <si>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</si>
  <si>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</si>
  <si>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</si>
  <si>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</si>
  <si>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</si>
  <si>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</si>
  <si>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</si>
  <si>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</si>
  <si>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</si>
  <si>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</si>
  <si>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</si>
  <si>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</si>
  <si>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</si>
  <si>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</si>
  <si>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</si>
  <si>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</si>
  <si>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</si>
  <si>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</si>
  <si>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</si>
  <si>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</si>
  <si>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</si>
  <si>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</si>
  <si>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</si>
  <si>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</si>
  <si>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</si>
  <si>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</si>
  <si>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</si>
  <si>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</si>
  <si>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</si>
  <si>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</si>
  <si>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</si>
  <si>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</si>
  <si>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</si>
  <si>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</si>
  <si>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</si>
  <si>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</si>
  <si>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</si>
  <si>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</si>
  <si>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</si>
  <si>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</si>
  <si>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</si>
  <si>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</si>
  <si>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</si>
  <si>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</si>
  <si>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</si>
  <si>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</si>
  <si>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</si>
  <si>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</si>
  <si>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</si>
  <si>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</si>
  <si>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</si>
  <si>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</si>
  <si>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</si>
  <si>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</si>
  <si>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</si>
  <si>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</si>
  <si>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</si>
  <si>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</si>
  <si>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</si>
  <si>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</si>
  <si>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</si>
  <si>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</si>
  <si>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</si>
  <si>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</si>
  <si>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</si>
  <si>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</si>
  <si>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</si>
  <si>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</si>
  <si>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</si>
  <si>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</si>
  <si>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</si>
  <si>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</si>
  <si>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</si>
  <si>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</si>
  <si>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</si>
  <si>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</si>
  <si>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</si>
  <si>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</si>
  <si>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</si>
  <si>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</si>
  <si>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</si>
  <si>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</si>
  <si>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</si>
  <si>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</si>
  <si>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</si>
  <si>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</si>
  <si>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</si>
  <si>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</si>
  <si>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</si>
  <si>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</si>
  <si>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</si>
  <si>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</si>
  <si>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</si>
  <si>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</si>
  <si>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</si>
  <si>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</si>
  <si>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</si>
  <si>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</si>
  <si>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</si>
  <si>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</si>
  <si>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</si>
  <si>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</si>
  <si>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</si>
  <si>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</si>
  <si>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</si>
  <si>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</si>
  <si>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</si>
  <si>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</si>
  <si>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</si>
  <si>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</si>
  <si>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</si>
  <si>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</si>
  <si>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</si>
  <si>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</si>
  <si>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</si>
  <si>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</si>
  <si>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</si>
  <si>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</si>
  <si>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</si>
  <si>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</si>
  <si>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</si>
  <si>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</si>
  <si>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</si>
  <si>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</si>
  <si>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</si>
  <si>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</si>
  <si>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</si>
  <si>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</si>
  <si>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</si>
  <si>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</si>
  <si>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</si>
  <si>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</si>
  <si>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</si>
  <si>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</si>
  <si>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</si>
  <si>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</si>
  <si>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</si>
  <si>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</si>
  <si>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</si>
  <si>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</si>
  <si>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</si>
  <si>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</si>
  <si>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</si>
  <si>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</si>
  <si>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</si>
  <si>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</si>
  <si>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</si>
  <si>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</si>
  <si>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</si>
  <si>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</si>
  <si>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</si>
  <si>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</si>
  <si>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</si>
  <si>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</si>
  <si>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</si>
  <si>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</si>
  <si>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</si>
  <si>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</si>
  <si>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</si>
  <si>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</si>
  <si>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</si>
  <si>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</si>
  <si>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</si>
  <si>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</si>
  <si>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</si>
  <si>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</si>
  <si>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</si>
  <si>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</si>
  <si>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</si>
  <si>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</si>
  <si>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</si>
  <si>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</si>
  <si>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</si>
  <si>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</si>
  <si>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</si>
  <si>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</si>
  <si>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</si>
  <si>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</si>
  <si>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</si>
  <si>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</si>
  <si>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</si>
  <si>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</si>
  <si>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</si>
  <si>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</si>
  <si>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</si>
  <si>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</si>
  <si>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</si>
  <si>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</si>
  <si>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</si>
  <si>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</si>
  <si>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</si>
  <si>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</si>
  <si>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</si>
  <si>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</si>
  <si>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</si>
  <si>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</si>
  <si>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</si>
  <si>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</si>
  <si>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</si>
  <si>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</si>
  <si>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</si>
  <si>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</si>
  <si>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</si>
  <si>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</si>
  <si>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</si>
  <si>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</si>
  <si>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</si>
  <si>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</si>
  <si>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</si>
  <si>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</si>
  <si>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</si>
  <si>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</si>
  <si>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</si>
  <si>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</si>
  <si>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</si>
  <si>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</si>
  <si>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</si>
  <si>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</si>
  <si>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</si>
  <si>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</si>
  <si>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</si>
  <si>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</si>
  <si>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</si>
  <si>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</si>
  <si>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</si>
  <si>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</si>
  <si>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</si>
  <si>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</si>
  <si>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</si>
  <si>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</si>
  <si>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</si>
  <si>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</si>
  <si>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</si>
  <si>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</si>
  <si>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</si>
  <si>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</si>
  <si>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</si>
  <si>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</si>
  <si>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</si>
  <si>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</si>
  <si>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</si>
  <si>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</si>
  <si>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</si>
  <si>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</si>
  <si>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</si>
  <si>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</si>
  <si>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</si>
  <si>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</si>
  <si>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</si>
  <si>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</si>
  <si>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</si>
  <si>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</si>
  <si>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</si>
  <si>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</si>
  <si>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</si>
  <si>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</si>
  <si>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</si>
  <si>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</si>
  <si>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</si>
  <si>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</si>
  <si>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</si>
  <si>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</si>
  <si>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</si>
  <si>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</si>
  <si>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</si>
  <si>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</si>
  <si>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</si>
  <si>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</si>
  <si>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</si>
  <si>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</si>
  <si>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</si>
  <si>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</si>
  <si>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</si>
  <si>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</si>
  <si>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</si>
  <si>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</si>
  <si>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</si>
  <si>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</si>
  <si>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</si>
  <si>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</si>
  <si>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</si>
  <si>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</si>
  <si>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</si>
  <si>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</si>
  <si>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</si>
  <si>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</si>
  <si>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</si>
  <si>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</si>
  <si>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</si>
  <si>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</si>
  <si>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</si>
  <si>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</si>
  <si>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</si>
  <si>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</si>
  <si>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</si>
  <si>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</si>
  <si>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</si>
  <si>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</si>
  <si>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</si>
  <si>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</si>
  <si>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</si>
  <si>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</si>
  <si>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</si>
  <si>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</si>
  <si>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</si>
  <si>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</si>
  <si>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</si>
  <si>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</si>
  <si>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</si>
  <si>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</si>
  <si>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</si>
  <si>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</si>
  <si>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</si>
  <si>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</si>
  <si>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</si>
  <si>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</si>
  <si>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</si>
  <si>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</si>
  <si>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</si>
  <si>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</si>
  <si>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</si>
  <si>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</si>
  <si>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</si>
  <si>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</si>
  <si>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</si>
  <si>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</si>
  <si>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</si>
  <si>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</si>
  <si>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</si>
  <si>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</si>
  <si>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</si>
  <si>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</si>
  <si>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</si>
  <si>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</si>
  <si>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</si>
  <si>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</si>
  <si>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</si>
  <si>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</si>
  <si>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</si>
  <si>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</si>
  <si>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</si>
  <si>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</si>
  <si>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</si>
  <si>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</si>
  <si>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</si>
  <si>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</si>
  <si>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</si>
  <si>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</si>
  <si>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</si>
  <si>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</si>
  <si>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</si>
  <si>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</si>
  <si>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</si>
  <si>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</si>
  <si>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</si>
  <si>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</si>
  <si>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</si>
  <si>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</si>
  <si>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</si>
  <si>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</si>
  <si>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</si>
  <si>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</si>
  <si>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</si>
  <si>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</si>
  <si>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</si>
  <si>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</si>
  <si>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</si>
  <si>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</si>
  <si>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</si>
  <si>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</si>
  <si>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</si>
  <si>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</si>
  <si>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</si>
  <si>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</si>
  <si>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</si>
  <si>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</si>
  <si>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</si>
  <si>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</si>
  <si>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</si>
  <si>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</si>
  <si>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</si>
  <si>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</si>
  <si>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</si>
  <si>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</si>
  <si>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</si>
  <si>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</si>
  <si>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</si>
  <si>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</si>
  <si>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</si>
  <si>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</si>
  <si>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</si>
  <si>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</si>
  <si>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</si>
  <si>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</si>
  <si>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</si>
  <si>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</si>
  <si>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</si>
  <si>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</si>
  <si>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</si>
  <si>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</si>
  <si>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</si>
  <si>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</si>
  <si>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</si>
  <si>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</si>
  <si>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</si>
  <si>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</si>
  <si>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</si>
  <si>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</si>
  <si>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</si>
  <si>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</si>
  <si>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</si>
  <si>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</si>
  <si>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</si>
  <si>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</si>
  <si>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</si>
  <si>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</si>
  <si>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</si>
  <si>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</si>
  <si>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</si>
  <si>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</si>
  <si>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</si>
  <si>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</si>
  <si>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</si>
  <si>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</si>
  <si>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</si>
  <si>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</si>
  <si>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</si>
  <si>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</si>
  <si>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</si>
  <si>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</si>
  <si>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</si>
  <si>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</si>
  <si>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</si>
  <si>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</si>
  <si>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</si>
  <si>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</si>
  <si>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</si>
  <si>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</si>
  <si>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</si>
  <si>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</si>
  <si>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</si>
  <si>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</si>
  <si>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</si>
  <si>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</si>
  <si>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</si>
  <si>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</si>
  <si>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</si>
  <si>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</si>
  <si>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</si>
  <si>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</si>
  <si>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</si>
  <si>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</si>
  <si>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</si>
  <si>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</si>
  <si>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</si>
  <si>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</si>
  <si>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</si>
  <si>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</si>
  <si>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</si>
  <si>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</si>
  <si>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</si>
  <si>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</si>
  <si>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</si>
  <si>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</si>
  <si>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</si>
  <si>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</si>
  <si>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</si>
  <si>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</si>
  <si>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</si>
  <si>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</si>
  <si>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</si>
  <si>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</si>
  <si>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</si>
  <si>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</si>
  <si>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</si>
  <si>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</si>
  <si>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</si>
  <si>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</si>
  <si>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</si>
  <si>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</si>
  <si>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</si>
  <si>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</si>
  <si>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</si>
  <si>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</si>
  <si>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</si>
  <si>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</si>
  <si>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</si>
  <si>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</si>
  <si>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</si>
  <si>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</si>
  <si>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</si>
  <si>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</si>
  <si>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</si>
  <si>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</si>
  <si>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</si>
  <si>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</si>
  <si>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</si>
  <si>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</si>
  <si>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</si>
  <si>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</si>
  <si>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</si>
  <si>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</si>
  <si>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</si>
  <si>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</si>
  <si>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</si>
  <si>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</si>
  <si>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</si>
  <si>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</si>
  <si>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</si>
  <si>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</si>
  <si>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</si>
  <si>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</si>
  <si>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</si>
  <si>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</si>
  <si>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</si>
  <si>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</si>
  <si>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</si>
  <si>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</si>
  <si>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</si>
  <si>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</si>
  <si>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</si>
  <si>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</si>
  <si>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</si>
  <si>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</si>
  <si>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</si>
  <si>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</si>
  <si>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</si>
  <si>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</si>
  <si>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</si>
  <si>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</si>
  <si>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</si>
  <si>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</si>
  <si>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</si>
  <si>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</si>
  <si>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</si>
  <si>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</si>
  <si>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</si>
  <si>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</si>
  <si>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</si>
  <si>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</si>
  <si>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</si>
  <si>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</si>
  <si>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</si>
  <si>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</si>
  <si>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</si>
  <si>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</si>
  <si>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</si>
  <si>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</si>
  <si>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</si>
  <si>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</si>
  <si>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</si>
  <si>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</si>
  <si>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</si>
  <si>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</si>
  <si>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</si>
  <si>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</si>
  <si>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</si>
  <si>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</si>
  <si>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</si>
  <si>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</si>
  <si>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</si>
  <si>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</si>
  <si>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</si>
  <si>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</si>
  <si>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</si>
  <si>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</si>
  <si>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</si>
  <si>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</si>
  <si>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</si>
  <si>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</si>
  <si>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</si>
  <si>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</si>
  <si>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</si>
  <si>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</si>
  <si>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</si>
  <si>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</si>
  <si>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</si>
  <si>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</si>
  <si>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</si>
  <si>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</si>
  <si>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</si>
  <si>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</si>
  <si>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</si>
  <si>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</si>
  <si>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</si>
  <si>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</si>
  <si>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</si>
  <si>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</si>
  <si>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</si>
  <si>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</si>
  <si>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</si>
  <si>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</si>
  <si>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</si>
  <si>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</si>
  <si>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</si>
  <si>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</si>
  <si>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</si>
  <si>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</si>
  <si>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</si>
  <si>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</si>
  <si>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</si>
  <si>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</si>
  <si>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</si>
  <si>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</si>
  <si>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</si>
  <si>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</si>
  <si>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</si>
  <si>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</si>
  <si>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</si>
  <si>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</si>
  <si>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</si>
  <si>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</si>
  <si>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</si>
  <si>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</si>
  <si>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</si>
  <si>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</si>
  <si>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</si>
  <si>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</si>
  <si>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</si>
  <si>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</si>
  <si>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</si>
  <si>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</si>
  <si>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</si>
  <si>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</si>
  <si>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</si>
  <si>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</si>
  <si>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</si>
  <si>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</si>
  <si>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</si>
  <si>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</si>
  <si>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</si>
  <si>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</si>
  <si>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</si>
  <si>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</si>
  <si>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</si>
  <si>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</si>
  <si>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</si>
  <si>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</si>
  <si>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</si>
  <si>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</si>
  <si>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</si>
  <si>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</si>
  <si>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</si>
  <si>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</si>
  <si>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</si>
  <si>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</si>
  <si>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</si>
  <si>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</si>
  <si>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</si>
  <si>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</si>
  <si>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</si>
  <si>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</si>
  <si>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</si>
  <si>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</si>
  <si>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</si>
  <si>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</si>
  <si>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</si>
  <si>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</si>
  <si>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</si>
  <si>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</si>
  <si>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</si>
  <si>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</si>
  <si>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</si>
  <si>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</si>
  <si>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</si>
  <si>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</si>
  <si>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</si>
  <si>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</si>
  <si>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</si>
  <si>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</si>
  <si>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</si>
  <si>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</si>
  <si>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</si>
  <si>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</si>
  <si>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</si>
  <si>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</si>
  <si>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</si>
  <si>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</si>
  <si>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</si>
  <si>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</si>
  <si>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</si>
  <si>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</si>
  <si>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</si>
  <si>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</si>
  <si>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</si>
  <si>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</si>
  <si>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</si>
  <si>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</si>
  <si>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</si>
  <si>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</si>
  <si>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</si>
  <si>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</si>
  <si>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</si>
  <si>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</si>
  <si>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</si>
  <si>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</si>
  <si>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</si>
  <si>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</si>
  <si>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</si>
  <si>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</si>
  <si>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</si>
  <si>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</si>
  <si>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</si>
  <si>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</si>
  <si>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</si>
  <si>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</si>
  <si>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</si>
  <si>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</si>
  <si>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</si>
  <si>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</si>
  <si>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</si>
  <si>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</si>
  <si>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</si>
  <si>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</si>
  <si>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</si>
  <si>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</si>
  <si>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</si>
  <si>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</si>
  <si>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</si>
  <si>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</si>
  <si>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</si>
  <si>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</si>
  <si>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</si>
  <si>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</si>
  <si>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</si>
  <si>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</si>
  <si>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</si>
  <si>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</si>
  <si>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</si>
  <si>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</si>
  <si>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</si>
  <si>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</si>
  <si>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</si>
  <si>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</si>
  <si>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</si>
  <si>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</si>
  <si>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</si>
  <si>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</si>
  <si>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</si>
  <si>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</si>
  <si>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</si>
  <si>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</si>
  <si>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</si>
  <si>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</si>
  <si>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</si>
  <si>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</si>
  <si>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</si>
  <si>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</si>
  <si>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</si>
  <si>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</si>
  <si>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</si>
  <si>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</si>
  <si>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</si>
  <si>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</si>
  <si>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</si>
  <si>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</si>
  <si>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</si>
  <si>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</si>
  <si>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</si>
  <si>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</si>
  <si>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</si>
  <si>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</si>
  <si>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</si>
  <si>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</si>
  <si>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</si>
  <si>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</si>
  <si>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</si>
  <si>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</si>
  <si>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</si>
  <si>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</si>
  <si>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</si>
  <si>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</si>
  <si>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</si>
  <si>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</si>
  <si>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</si>
  <si>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</si>
  <si>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</si>
  <si>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</si>
  <si>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</si>
  <si>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</si>
  <si>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</si>
  <si>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</si>
  <si>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</si>
  <si>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</si>
  <si>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</si>
  <si>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</si>
  <si>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</si>
  <si>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</si>
  <si>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</si>
  <si>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</si>
  <si>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</si>
  <si>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</si>
  <si>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</si>
  <si>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</si>
  <si>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</si>
  <si>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</si>
  <si>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</si>
  <si>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</si>
  <si>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</si>
  <si>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</si>
  <si>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</si>
  <si>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</si>
  <si>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</si>
  <si>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</si>
  <si>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</si>
  <si>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</si>
  <si>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</si>
  <si>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</si>
  <si>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</si>
  <si>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</si>
  <si>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</si>
  <si>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</si>
  <si>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</si>
  <si>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</si>
  <si>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</si>
  <si>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</si>
  <si>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</si>
  <si>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</si>
  <si>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</si>
  <si>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</si>
  <si>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</si>
  <si>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</si>
  <si>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</si>
  <si>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</si>
  <si>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</si>
  <si>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</si>
  <si>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</si>
  <si>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</si>
  <si>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</si>
  <si>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</si>
  <si>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</si>
  <si>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</si>
  <si>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</si>
  <si>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</si>
  <si>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</si>
  <si>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</si>
  <si>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</si>
  <si>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</si>
  <si>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</si>
  <si>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</si>
  <si>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</si>
  <si>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</si>
  <si>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</si>
  <si>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</si>
  <si>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</si>
  <si>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</si>
  <si>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</si>
  <si>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</si>
  <si>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</si>
  <si>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</si>
  <si>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</si>
  <si>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</si>
  <si>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</si>
  <si>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</si>
  <si>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</si>
  <si>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</si>
  <si>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</si>
  <si>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</si>
  <si>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</si>
  <si>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</si>
  <si>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</si>
  <si>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</si>
  <si>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</si>
  <si>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</si>
  <si>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</si>
  <si>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</si>
  <si>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</si>
  <si>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</si>
  <si>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</si>
  <si>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</si>
  <si>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</si>
  <si>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</si>
  <si>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</si>
  <si>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</si>
  <si>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</si>
  <si>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</si>
  <si>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</si>
  <si>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</si>
  <si>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</si>
  <si>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</si>
  <si>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</si>
  <si>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</si>
  <si>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</si>
  <si>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</si>
  <si>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</si>
  <si>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</si>
  <si>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</si>
  <si>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</si>
  <si>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</si>
  <si>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</si>
  <si>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</si>
  <si>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</si>
  <si>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</si>
  <si>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</si>
  <si>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</si>
  <si>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</si>
  <si>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</si>
  <si>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</si>
  <si>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</si>
  <si>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</si>
  <si>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</si>
  <si>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</si>
  <si>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</si>
  <si>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</si>
  <si>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</si>
  <si>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</si>
  <si>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</si>
  <si>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</si>
  <si>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</si>
  <si>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</si>
  <si>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</si>
  <si>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</si>
  <si>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</si>
  <si>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</si>
  <si>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</si>
  <si>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</si>
  <si>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</si>
  <si>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</si>
  <si>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</si>
  <si>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</si>
  <si>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</si>
  <si>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</si>
  <si>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</si>
  <si>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</si>
  <si>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</si>
  <si>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</si>
  <si>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</si>
  <si>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</si>
  <si>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</si>
  <si>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</si>
  <si>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</si>
  <si>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</si>
  <si>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</si>
  <si>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</si>
  <si>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</si>
  <si>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</si>
  <si>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</si>
  <si>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</si>
  <si>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</si>
  <si>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</si>
  <si>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</si>
  <si>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</si>
  <si>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</si>
  <si>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</si>
  <si>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</si>
  <si>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</si>
  <si>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</si>
  <si>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</si>
  <si>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</si>
  <si>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</si>
  <si>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</si>
  <si>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</si>
  <si>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</si>
  <si>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</si>
  <si>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</si>
  <si>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</si>
  <si>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</si>
  <si>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</si>
  <si>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</si>
  <si>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</si>
  <si>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</si>
  <si>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</si>
  <si>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</si>
  <si>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</si>
  <si>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</si>
  <si>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</si>
  <si>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</si>
  <si>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</si>
  <si>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</si>
  <si>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</si>
  <si>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</si>
  <si>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</si>
  <si>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</si>
  <si>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</si>
  <si>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</si>
  <si>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</si>
  <si>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</si>
  <si>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</si>
  <si>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</si>
  <si>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</si>
  <si>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</si>
  <si>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</si>
  <si>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</si>
  <si>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</si>
  <si>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</si>
  <si>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</si>
  <si>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</si>
  <si>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</si>
  <si>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</si>
  <si>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</si>
  <si>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</si>
  <si>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</si>
  <si>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</si>
  <si>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</si>
  <si>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</si>
  <si>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</si>
  <si>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</si>
  <si>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</si>
  <si>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</si>
  <si>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</si>
  <si>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</si>
  <si>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</si>
  <si>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</si>
  <si>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</si>
  <si>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</si>
  <si>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</si>
  <si>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</si>
  <si>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</si>
  <si>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</si>
  <si>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</si>
  <si>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</si>
  <si>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</si>
  <si>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</si>
  <si>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</si>
  <si>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</si>
  <si>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</si>
  <si>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</si>
  <si>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</si>
  <si>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</si>
  <si>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</si>
  <si>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</si>
  <si>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</si>
  <si>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</si>
  <si>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</si>
  <si>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</si>
  <si>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</si>
  <si>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</si>
  <si>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</si>
  <si>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</si>
  <si>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</si>
  <si>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</si>
  <si>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</si>
  <si>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</si>
  <si>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</si>
  <si>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</si>
  <si>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</si>
  <si>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</si>
  <si>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</si>
  <si>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</si>
  <si>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</si>
  <si>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</si>
  <si>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</si>
  <si>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</si>
  <si>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</si>
  <si>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</si>
  <si>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</si>
  <si>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</si>
  <si>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</si>
  <si>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</si>
  <si>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</si>
  <si>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</si>
  <si>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</si>
  <si>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</si>
  <si>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</si>
  <si>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</si>
  <si>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</si>
  <si>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</si>
  <si>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</si>
  <si>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</si>
  <si>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</si>
  <si>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</si>
  <si>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</si>
  <si>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</si>
  <si>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</si>
  <si>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</si>
  <si>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</si>
  <si>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</si>
  <si>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</si>
  <si>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</si>
  <si>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</si>
  <si>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</si>
  <si>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</si>
  <si>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</si>
  <si>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</si>
  <si>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</si>
  <si>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</si>
  <si>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</si>
  <si>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</si>
  <si>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</si>
  <si>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</si>
  <si>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</si>
  <si>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</si>
  <si>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</si>
  <si>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</si>
  <si>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</si>
  <si>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</si>
  <si>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</si>
  <si>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</si>
  <si>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</si>
  <si>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</si>
  <si>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</si>
  <si>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</si>
  <si>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</si>
  <si>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</si>
  <si>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</si>
  <si>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</si>
  <si>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</si>
  <si>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</si>
  <si>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</si>
  <si>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</si>
  <si>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</si>
  <si>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</si>
  <si>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</si>
  <si>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</si>
  <si>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</si>
  <si>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</si>
  <si>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</si>
  <si>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</si>
  <si>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</si>
  <si>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</si>
  <si>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</si>
  <si>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</si>
  <si>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</si>
  <si>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</si>
  <si>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</si>
  <si>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</si>
  <si>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</si>
  <si>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</si>
  <si>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</si>
  <si>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</si>
  <si>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</si>
  <si>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</si>
  <si>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</si>
  <si>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</si>
  <si>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</si>
  <si>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</si>
  <si>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</si>
  <si>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</si>
  <si>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</si>
  <si>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</si>
  <si>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</si>
  <si>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</si>
  <si>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</si>
  <si>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</si>
  <si>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</si>
  <si>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</si>
  <si>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</si>
  <si>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</si>
  <si>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</si>
  <si>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</si>
  <si>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</si>
  <si>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</si>
  <si>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</si>
  <si>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</si>
  <si>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</si>
  <si>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</si>
  <si>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</si>
  <si>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</si>
  <si>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</si>
  <si>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</si>
  <si>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</si>
  <si>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</si>
  <si>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</si>
  <si>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</si>
  <si>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</si>
  <si>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</si>
  <si>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</si>
  <si>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</si>
  <si>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</si>
  <si>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</si>
  <si>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</si>
  <si>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</si>
  <si>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</si>
  <si>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</si>
  <si>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</si>
  <si>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</si>
  <si>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</si>
  <si>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</si>
  <si>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</si>
  <si>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</si>
  <si>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</si>
  <si>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</si>
  <si>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</si>
  <si>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</si>
  <si>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</si>
  <si>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</si>
  <si>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</si>
  <si>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</si>
  <si>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</si>
  <si>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</si>
  <si>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</si>
  <si>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</si>
  <si>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</si>
  <si>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</si>
  <si>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</si>
  <si>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</si>
  <si>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</si>
  <si>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</si>
  <si>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</si>
  <si>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</si>
  <si>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</si>
  <si>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</si>
  <si>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</si>
  <si>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</si>
  <si>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</si>
  <si>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</si>
  <si>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</si>
  <si>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</si>
  <si>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</si>
  <si>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</si>
  <si>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</si>
  <si>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</si>
  <si>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</si>
  <si>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</si>
  <si>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</si>
  <si>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</si>
  <si>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</si>
  <si>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</si>
  <si>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</si>
  <si>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</si>
  <si>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</si>
  <si>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</si>
  <si>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</si>
  <si>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</si>
  <si>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</si>
  <si>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</si>
  <si>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</si>
  <si>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</si>
  <si>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</si>
  <si>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</si>
  <si>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</si>
  <si>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</si>
  <si>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</si>
  <si>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</si>
  <si>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</si>
  <si>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</si>
  <si>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</si>
  <si>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</si>
  <si>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</si>
  <si>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</si>
  <si>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</si>
  <si>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</si>
  <si>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</si>
  <si>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</si>
  <si>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</si>
  <si>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</si>
  <si>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</si>
  <si>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</si>
  <si>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</si>
  <si>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</si>
  <si>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</si>
  <si>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</si>
  <si>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</si>
  <si>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</si>
  <si>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</si>
  <si>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</si>
  <si>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</si>
  <si>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</si>
  <si>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</si>
  <si>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</si>
  <si>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</si>
  <si>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</si>
  <si>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</si>
  <si>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</si>
  <si>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</si>
  <si>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</si>
  <si>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</si>
  <si>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</si>
  <si>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</si>
  <si>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</si>
  <si>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</si>
  <si>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</si>
  <si>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</si>
  <si>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</si>
  <si>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</si>
  <si>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</si>
  <si>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</si>
  <si>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</si>
  <si>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</si>
  <si>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</si>
  <si>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</si>
  <si>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</si>
  <si>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</si>
  <si>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</si>
  <si>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</si>
  <si>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</si>
  <si>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</si>
  <si>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</si>
  <si>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</si>
  <si>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</si>
  <si>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</si>
  <si>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</si>
  <si>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</si>
  <si>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</si>
  <si>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</si>
  <si>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</si>
  <si>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</si>
  <si>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</si>
  <si>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</si>
  <si>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</si>
  <si>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</si>
  <si>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</si>
  <si>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</si>
  <si>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</si>
  <si>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</si>
  <si>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</si>
  <si>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</si>
  <si>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</si>
  <si>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</si>
  <si>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</si>
  <si>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</si>
  <si>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</si>
  <si>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</si>
  <si>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</si>
  <si>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</si>
  <si>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</si>
  <si>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</si>
  <si>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</si>
  <si>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</si>
  <si>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</si>
  <si>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</si>
  <si>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</si>
  <si>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</si>
  <si>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</si>
  <si>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</si>
  <si>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</si>
  <si>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</si>
  <si>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</si>
  <si>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</si>
  <si>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</si>
  <si>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</si>
  <si>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</si>
  <si>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</si>
  <si>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</si>
  <si>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</si>
  <si>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</si>
  <si>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</si>
  <si>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</si>
  <si>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</si>
  <si>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</si>
  <si>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</si>
  <si>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</si>
  <si>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</si>
  <si>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</si>
  <si>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</si>
  <si>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</si>
  <si>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</si>
  <si>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</si>
  <si>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</si>
  <si>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</si>
  <si>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</si>
  <si>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</si>
  <si>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</si>
  <si>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</si>
  <si>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</si>
  <si>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</si>
  <si>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</si>
  <si>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</si>
  <si>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</si>
  <si>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</si>
  <si>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</si>
  <si>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</si>
  <si>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</si>
  <si>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</si>
  <si>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</si>
  <si>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</si>
  <si>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</si>
  <si>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</si>
  <si>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</si>
  <si>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</si>
  <si>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</si>
  <si>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</si>
  <si>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</si>
  <si>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</si>
  <si>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</si>
  <si>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</si>
  <si>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</si>
  <si>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</si>
  <si>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</si>
  <si>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</si>
  <si>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</si>
  <si>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</si>
  <si>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</si>
  <si>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</si>
  <si>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</si>
  <si>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</si>
  <si>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</si>
  <si>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</si>
  <si>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</si>
  <si>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</si>
  <si>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</si>
  <si>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</si>
  <si>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</si>
  <si>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</si>
  <si>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</si>
  <si>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</si>
  <si>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</si>
  <si>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</si>
  <si>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</si>
  <si>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</si>
  <si>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</si>
  <si>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</si>
  <si>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</si>
  <si>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</si>
  <si>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</si>
  <si>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</si>
  <si>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</si>
  <si>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</si>
  <si>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</si>
  <si>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</si>
  <si>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</si>
  <si>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</si>
  <si>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</si>
  <si>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</si>
  <si>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</si>
  <si>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</si>
  <si>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</si>
  <si>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</si>
  <si>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</si>
  <si>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</si>
  <si>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</si>
  <si>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</si>
  <si>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</si>
  <si>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</si>
  <si>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</si>
  <si>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</si>
  <si>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</si>
  <si>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</si>
  <si>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</si>
  <si>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</si>
  <si>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</si>
  <si>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</si>
  <si>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</si>
  <si>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</si>
  <si>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</si>
  <si>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</si>
  <si>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</si>
  <si>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</si>
  <si>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</si>
  <si>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</si>
  <si>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</si>
  <si>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</si>
  <si>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</si>
  <si>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</si>
  <si>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</si>
  <si>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</si>
  <si>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</si>
  <si>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</si>
  <si>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</si>
  <si>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</si>
  <si>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</si>
  <si>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</si>
  <si>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</si>
  <si>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</si>
  <si>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</si>
  <si>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</si>
  <si>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</si>
  <si>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</si>
  <si>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</si>
  <si>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</si>
  <si>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</si>
  <si>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</si>
  <si>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</si>
  <si>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</si>
  <si>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</si>
  <si>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</si>
  <si>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</si>
  <si>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</si>
  <si>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</si>
  <si>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</si>
  <si>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</si>
  <si>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</si>
  <si>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</si>
  <si>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</si>
  <si>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</si>
  <si>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</si>
  <si>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</si>
  <si>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</si>
  <si>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</si>
  <si>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</si>
  <si>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</si>
  <si>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</si>
  <si>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</si>
  <si>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</si>
  <si>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</si>
  <si>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</si>
  <si>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</si>
  <si>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</si>
  <si>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</si>
  <si>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</si>
  <si>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</si>
  <si>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</si>
  <si>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</si>
  <si>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</si>
  <si>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</si>
  <si>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</si>
  <si>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</si>
  <si>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</si>
  <si>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</si>
  <si>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</si>
  <si>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</si>
  <si>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</si>
  <si>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</si>
  <si>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</si>
  <si>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</si>
  <si>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</si>
  <si>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</si>
  <si>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</si>
  <si>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</si>
  <si>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</si>
  <si>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</si>
  <si>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</si>
  <si>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</si>
  <si>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</si>
  <si>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</si>
  <si>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</si>
  <si>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</si>
  <si>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</si>
  <si>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</si>
  <si>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</si>
  <si>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</si>
  <si>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</si>
  <si>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</si>
  <si>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</si>
  <si>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</si>
  <si>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</si>
  <si>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</si>
  <si>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</si>
  <si>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</si>
  <si>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</si>
  <si>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</si>
  <si>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</si>
  <si>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</si>
  <si>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</si>
  <si>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</si>
  <si>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</si>
  <si>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</si>
  <si>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</si>
  <si>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</si>
  <si>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</si>
  <si>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</si>
  <si>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</si>
  <si>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</si>
  <si>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</si>
  <si>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</si>
  <si>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</si>
  <si>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</si>
  <si>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</si>
  <si>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</si>
  <si>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</si>
  <si>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</si>
  <si>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</si>
  <si>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</si>
  <si>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</si>
  <si>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</si>
  <si>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</si>
  <si>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</si>
  <si>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</si>
  <si>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</si>
  <si>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</si>
  <si>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</si>
  <si>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</si>
  <si>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</si>
  <si>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</si>
  <si>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</si>
  <si>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</si>
  <si>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</si>
  <si>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</si>
  <si>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</si>
  <si>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</si>
  <si>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</si>
  <si>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</si>
  <si>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</si>
  <si>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</si>
  <si>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</si>
  <si>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</si>
  <si>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</si>
  <si>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</si>
  <si>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</si>
  <si>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</si>
  <si>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</si>
  <si>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</si>
  <si>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</si>
  <si>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</si>
  <si>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</si>
  <si>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</si>
  <si>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</si>
  <si>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</si>
  <si>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</si>
  <si>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</si>
  <si>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</si>
  <si>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</si>
  <si>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</si>
  <si>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</si>
  <si>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</si>
  <si>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</si>
  <si>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</si>
  <si>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</si>
  <si>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</si>
  <si>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</si>
  <si>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</si>
  <si>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</si>
  <si>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</si>
  <si>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</si>
  <si>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</si>
  <si>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</si>
  <si>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</si>
  <si>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</si>
  <si>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</si>
  <si>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</si>
  <si>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</si>
  <si>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</si>
  <si>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</si>
  <si>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</si>
  <si>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</si>
  <si>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</si>
  <si>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</si>
  <si>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</si>
  <si>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</si>
  <si>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</si>
  <si>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</si>
  <si>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</si>
  <si>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</si>
  <si>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</si>
  <si>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</si>
  <si>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</si>
  <si>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</si>
  <si>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</si>
  <si>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</si>
  <si>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</si>
  <si>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</si>
  <si>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</si>
  <si>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</si>
  <si>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</si>
  <si>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</si>
  <si>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</si>
  <si>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</si>
  <si>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</si>
  <si>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</si>
  <si>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</si>
  <si>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</si>
  <si>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</si>
  <si>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</si>
  <si>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</si>
  <si>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</si>
  <si>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</si>
  <si>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</si>
  <si>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</si>
  <si>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</si>
  <si>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</si>
  <si>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</si>
  <si>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</si>
  <si>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</si>
  <si>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</si>
  <si>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</si>
  <si>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</si>
  <si>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</si>
  <si>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</si>
  <si>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</si>
  <si>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</si>
  <si>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</si>
  <si>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</si>
  <si>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</si>
  <si>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</si>
  <si>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</si>
  <si>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</si>
  <si>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</si>
  <si>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</si>
  <si>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</si>
  <si>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</si>
  <si>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</si>
  <si>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</si>
  <si>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</si>
  <si>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</si>
  <si>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</si>
  <si>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</si>
  <si>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</si>
  <si>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</si>
  <si>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</si>
  <si>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</si>
  <si>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</si>
  <si>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</si>
  <si>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</si>
  <si>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</si>
  <si>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</si>
  <si>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</si>
  <si>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</si>
  <si>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</si>
  <si>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</si>
  <si>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</si>
  <si>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</si>
  <si>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</si>
  <si>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</si>
  <si>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</si>
  <si>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</si>
  <si>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</si>
  <si>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</si>
  <si>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</si>
  <si>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</si>
  <si>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</si>
  <si>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</si>
  <si>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</si>
  <si>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</si>
  <si>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</si>
  <si>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</si>
  <si>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</si>
  <si>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</si>
  <si>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</si>
  <si>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</si>
  <si>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</si>
  <si>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</si>
  <si>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</si>
  <si>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</si>
  <si>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</si>
  <si>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</si>
  <si>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</si>
  <si>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</si>
  <si>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</si>
  <si>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</si>
  <si>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</si>
  <si>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</si>
  <si>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</si>
  <si>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</si>
  <si>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</si>
  <si>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</si>
  <si>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</si>
  <si>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</si>
  <si>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</si>
  <si>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</si>
  <si>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</si>
  <si>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</si>
  <si>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</si>
  <si>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</si>
  <si>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</si>
  <si>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</si>
  <si>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</si>
  <si>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</si>
  <si>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</si>
  <si>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</si>
  <si>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</si>
  <si>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</si>
  <si>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</si>
  <si>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</si>
  <si>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</si>
  <si>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</si>
  <si>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</si>
  <si>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</si>
  <si>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</si>
  <si>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</si>
  <si>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</si>
  <si>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</si>
  <si>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</si>
  <si>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</si>
  <si>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</si>
  <si>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</si>
  <si>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</si>
  <si>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</si>
  <si>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</si>
  <si>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</si>
  <si>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</si>
  <si>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</si>
  <si>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</si>
  <si>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</si>
  <si>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</si>
  <si>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</si>
  <si>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</si>
  <si>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</si>
  <si>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</si>
  <si>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</si>
  <si>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</si>
  <si>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</si>
  <si>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</si>
  <si>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</si>
  <si>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</si>
  <si>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</si>
  <si>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</si>
  <si>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</si>
  <si>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</si>
  <si>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</si>
  <si>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</si>
  <si>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</si>
  <si>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</si>
  <si>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</si>
  <si>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</si>
  <si>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</si>
  <si>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</si>
  <si>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</si>
  <si>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</si>
  <si>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</si>
  <si>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</si>
  <si>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</si>
  <si>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</si>
  <si>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</si>
  <si>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</si>
  <si>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</si>
  <si>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</si>
  <si>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</si>
  <si>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</si>
  <si>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</si>
  <si>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</si>
  <si>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</si>
  <si>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</si>
  <si>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</si>
  <si>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</si>
  <si>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</si>
  <si>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</si>
  <si>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</si>
  <si>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</si>
  <si>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</si>
  <si>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</si>
  <si>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</si>
  <si>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</si>
  <si>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</si>
  <si>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</si>
  <si>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</si>
  <si>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</si>
  <si>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</si>
  <si>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</si>
  <si>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</si>
  <si>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</si>
  <si>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</si>
  <si>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</si>
  <si>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</si>
  <si>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</si>
  <si>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</si>
  <si>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</si>
  <si>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</si>
  <si>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</si>
  <si>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</si>
  <si>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</si>
  <si>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</si>
  <si>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</si>
  <si>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</si>
  <si>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</si>
  <si>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</si>
  <si>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</si>
  <si>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</si>
  <si>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</si>
  <si>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</si>
  <si>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</si>
  <si>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</si>
  <si>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</si>
  <si>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</si>
  <si>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</si>
  <si>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</si>
  <si>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</si>
  <si>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</si>
  <si>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</si>
  <si>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</si>
  <si>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</si>
  <si>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</si>
  <si>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</si>
  <si>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</si>
  <si>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</si>
  <si>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</si>
  <si>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</si>
  <si>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</si>
  <si>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</si>
  <si>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</si>
  <si>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</si>
  <si>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</si>
  <si>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</si>
  <si>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</si>
  <si>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</si>
  <si>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</si>
  <si>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</si>
  <si>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</si>
  <si>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</si>
  <si>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</si>
  <si>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</si>
  <si>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</si>
  <si>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</si>
  <si>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</si>
  <si>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</si>
  <si>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</si>
  <si>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</si>
  <si>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</si>
  <si>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</si>
  <si>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</si>
  <si>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</si>
  <si>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</si>
  <si>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</si>
  <si>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</si>
  <si>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</si>
  <si>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</si>
  <si>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</si>
  <si>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</si>
  <si>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</si>
  <si>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</si>
  <si>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</si>
  <si>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</si>
  <si>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</si>
  <si>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</si>
  <si>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</si>
  <si>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</si>
  <si>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</si>
  <si>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</si>
  <si>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</si>
  <si>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</si>
  <si>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</si>
  <si>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</si>
  <si>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</si>
  <si>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</si>
  <si>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</si>
  <si>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</si>
  <si>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</si>
  <si>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</si>
  <si>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</si>
  <si>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</si>
  <si>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</si>
  <si>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</si>
  <si>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</si>
  <si>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</si>
  <si>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</si>
  <si>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</si>
  <si>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</si>
  <si>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</si>
  <si>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</si>
  <si>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</si>
  <si>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</si>
  <si>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</si>
  <si>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</si>
  <si>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</si>
  <si>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</si>
  <si>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</si>
  <si>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</si>
  <si>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</si>
  <si>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</si>
  <si>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</si>
  <si>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</si>
  <si>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</si>
  <si>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</si>
  <si>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</si>
  <si>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</si>
  <si>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</si>
  <si>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</si>
  <si>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</si>
  <si>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</si>
  <si>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</si>
  <si>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</si>
  <si>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</si>
  <si>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</si>
  <si>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</si>
  <si>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</si>
  <si>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</si>
  <si>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</si>
  <si>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</si>
  <si>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</si>
  <si>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</si>
  <si>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</si>
  <si>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</si>
  <si>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</si>
  <si>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</si>
  <si>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</si>
  <si>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</si>
  <si>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</si>
  <si>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</si>
  <si>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</si>
  <si>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</si>
  <si>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</si>
  <si>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</si>
  <si>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</si>
  <si>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</si>
  <si>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</si>
  <si>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</si>
  <si>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</si>
  <si>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</si>
  <si>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</si>
  <si>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</si>
  <si>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</si>
  <si>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</si>
  <si>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</si>
  <si>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</si>
  <si>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</si>
  <si>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</si>
  <si>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</si>
  <si>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</si>
  <si>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</si>
  <si>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</si>
  <si>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</si>
  <si>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</si>
  <si>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</si>
  <si>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</si>
  <si>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</si>
  <si>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</si>
  <si>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</si>
  <si>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</si>
  <si>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</si>
  <si>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</si>
  <si>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</si>
  <si>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</si>
  <si>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</si>
  <si>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</si>
  <si>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</si>
  <si>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</si>
  <si>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</si>
  <si>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</si>
  <si>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</si>
  <si>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</si>
  <si>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</si>
  <si>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</si>
  <si>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</si>
  <si>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</si>
  <si>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</si>
  <si>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</si>
  <si>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</si>
  <si>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</si>
  <si>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</si>
  <si>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</si>
  <si>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</si>
  <si>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</si>
  <si>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</si>
  <si>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</si>
  <si>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</si>
  <si>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</si>
  <si>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</si>
  <si>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</si>
  <si>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</si>
  <si>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</si>
  <si>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</si>
  <si>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</si>
  <si>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</si>
  <si>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</si>
  <si>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</si>
  <si>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</si>
  <si>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</si>
  <si>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</si>
  <si>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</si>
  <si>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</si>
  <si>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</si>
  <si>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</si>
  <si>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</si>
  <si>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</si>
  <si>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</si>
  <si>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</si>
  <si>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</si>
  <si>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</si>
  <si>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</si>
  <si>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</si>
  <si>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</si>
  <si>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</si>
  <si>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</si>
  <si>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</si>
  <si>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</si>
  <si>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</si>
  <si>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</si>
  <si>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</si>
  <si>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</si>
  <si>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</si>
  <si>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</si>
  <si>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</si>
  <si>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</si>
  <si>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</si>
  <si>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</si>
  <si>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</si>
  <si>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</si>
  <si>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</si>
  <si>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</si>
  <si>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</si>
  <si>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</si>
  <si>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</si>
  <si>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</si>
  <si>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</si>
  <si>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</si>
  <si>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</si>
  <si>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</si>
  <si>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</si>
  <si>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</si>
  <si>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</si>
  <si>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</si>
  <si>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</si>
  <si>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</si>
  <si>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</si>
  <si>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</si>
  <si>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</si>
  <si>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</si>
  <si>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</si>
  <si>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</si>
  <si>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</si>
  <si>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</si>
  <si>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</si>
  <si>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</si>
  <si>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</si>
  <si>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</si>
  <si>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</si>
  <si>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</si>
  <si>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</si>
  <si>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</si>
  <si>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</si>
  <si>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</si>
  <si>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</si>
  <si>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</si>
  <si>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</si>
  <si>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</si>
  <si>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</si>
  <si>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</si>
  <si>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</si>
  <si>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</si>
  <si>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</si>
  <si>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</si>
  <si>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</si>
  <si>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</si>
  <si>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</si>
  <si>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</si>
  <si>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</si>
  <si>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</si>
  <si>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</si>
  <si>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</si>
  <si>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</si>
  <si>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</si>
  <si>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</si>
  <si>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</si>
  <si>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</si>
  <si>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</si>
  <si>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</si>
  <si>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</si>
  <si>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</si>
  <si>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</si>
  <si>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</si>
  <si>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</si>
  <si>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</si>
  <si>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</si>
  <si>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</si>
  <si>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</si>
  <si>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</si>
  <si>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</si>
  <si>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</si>
  <si>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</si>
  <si>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</si>
  <si>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</si>
  <si>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</si>
  <si>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</si>
  <si>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</si>
  <si>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</si>
  <si>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</si>
  <si>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</si>
  <si>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</si>
  <si>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</si>
  <si>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</si>
  <si>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</si>
  <si>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</si>
  <si>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</si>
  <si>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</si>
  <si>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</si>
  <si>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</si>
  <si>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</si>
  <si>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</si>
  <si>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</si>
  <si>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</si>
  <si>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</si>
  <si>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</si>
  <si>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</si>
  <si>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</si>
  <si>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</si>
  <si>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</si>
  <si>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</si>
  <si>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</si>
  <si>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</si>
  <si>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</si>
  <si>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</si>
  <si>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</si>
  <si>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</si>
  <si>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</si>
  <si>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</si>
  <si>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</si>
  <si>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</si>
  <si>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</si>
  <si>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</si>
  <si>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</si>
  <si>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</si>
  <si>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</si>
  <si>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</si>
  <si>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</si>
  <si>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</si>
  <si>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</si>
  <si>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</si>
  <si>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</si>
  <si>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</si>
  <si>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</si>
  <si>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</si>
  <si>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</si>
  <si>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</si>
  <si>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</si>
  <si>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</si>
  <si>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</si>
  <si>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</si>
  <si>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</si>
  <si>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</si>
  <si>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</si>
  <si>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</si>
  <si>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</si>
  <si>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</si>
  <si>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</si>
  <si>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</si>
  <si>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</si>
  <si>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</si>
  <si>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</si>
  <si>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</si>
  <si>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</si>
  <si>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</si>
  <si>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</si>
  <si>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</si>
  <si>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</si>
  <si>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</si>
  <si>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</si>
  <si>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</si>
  <si>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</si>
  <si>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</si>
  <si>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</si>
  <si>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</si>
  <si>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</si>
  <si>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</si>
  <si>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</si>
  <si>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</si>
  <si>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</si>
  <si>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</si>
  <si>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</si>
  <si>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</si>
  <si>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</si>
  <si>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</si>
  <si>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</si>
  <si>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</si>
  <si>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</si>
  <si>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</si>
  <si>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</si>
  <si>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</si>
  <si>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</si>
  <si>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</si>
  <si>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</si>
  <si>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</si>
  <si>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</si>
  <si>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</si>
  <si>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</si>
  <si>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</si>
  <si>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</si>
  <si>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</si>
  <si>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</si>
  <si>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</si>
  <si>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</si>
  <si>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</si>
  <si>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</si>
  <si>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</si>
  <si>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</si>
  <si>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</si>
  <si>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</si>
  <si>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</si>
  <si>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</si>
  <si>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</si>
  <si>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</si>
  <si>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</si>
  <si>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</si>
  <si>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</si>
  <si>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</si>
  <si>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</si>
  <si>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</si>
  <si>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</si>
  <si>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</si>
  <si>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</si>
  <si>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</si>
  <si>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</si>
  <si>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</si>
  <si>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</si>
  <si>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</si>
  <si>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</si>
  <si>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</si>
  <si>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</si>
  <si>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</si>
  <si>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</si>
  <si>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Route des Perveuils 8</t>
  </si>
  <si>
    <t>Mining, Recycled and scrap sources</t>
  </si>
  <si>
    <t>45-51 Tai Lin Pai Road</t>
  </si>
  <si>
    <t>Hong Kong SAR (see also separate country code entry under HK)</t>
  </si>
  <si>
    <t>8 Burch Street #01-06</t>
  </si>
  <si>
    <t>Buiding B, 48 Dongfu Road</t>
  </si>
  <si>
    <t>255 John L. Dietsch Boulevard</t>
  </si>
  <si>
    <t>Yuxing Shang</t>
  </si>
  <si>
    <t>Yuxing.Shang@metalor.com</t>
  </si>
  <si>
    <t>Mining, recycled and scrap sources</t>
  </si>
  <si>
    <t>selon informations déclarées par nos fourniseurs ( non vérifié par LEGENI ).</t>
  </si>
  <si>
    <t>Ada Yu</t>
  </si>
  <si>
    <t>Ada.Yu@metalor.com</t>
  </si>
  <si>
    <t>8 Buroh Street #01-06</t>
  </si>
  <si>
    <t>KL Yap</t>
  </si>
  <si>
    <t>KL.Yap@metalor.com</t>
  </si>
  <si>
    <t>Bernie Chen</t>
  </si>
  <si>
    <t>Bernie.Chen@metalor.com</t>
  </si>
  <si>
    <t>255 Jonh L. Dietsch Boulevard</t>
  </si>
  <si>
    <t>Samantha McCourt</t>
  </si>
  <si>
    <t>Samantha.McCourt@metalor.com</t>
  </si>
  <si>
    <t/>
  </si>
  <si>
    <t>PT Sukses Inti Makmur</t>
  </si>
  <si>
    <t>MGB France</t>
  </si>
  <si>
    <t>bar turning company</t>
  </si>
  <si>
    <t>105, Rue du Bargy - 74460 MARNAZ</t>
  </si>
  <si>
    <t>00 33 450 182 770</t>
  </si>
  <si>
    <t>machining of  parts made with material containing Tin  (brass, copper allows)</t>
  </si>
  <si>
    <t>Gold plating on certain products</t>
  </si>
  <si>
    <t>Not totally because a small percentage  of our suppliers did not answer to this template</t>
  </si>
  <si>
    <t>The requirement is established on our general purshasing conditions that the supplier must sign</t>
  </si>
  <si>
    <t>The requirement to be in compliance with CMRT is established on our general purshasing conditions</t>
  </si>
  <si>
    <t>We are working with well known suppliers in the market</t>
  </si>
  <si>
    <t>d.guido@mgb.fr</t>
  </si>
  <si>
    <t>Environnement manager</t>
  </si>
  <si>
    <t>Damien GUIDO</t>
  </si>
  <si>
    <t>Plating on certain products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</si>
</sst>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protection locked="0"/>
    </xf>
    <xf numFmtId="0" fontId="0" fillId="0" borderId="68" xfId="0" applyFont="1" applyBorder="1" applyAlignment="1" applyProtection="1">
      <alignment wrapText="1"/>
      <protection locked="0"/>
    </xf>
    <xf numFmtId="0" fontId="0" fillId="33" borderId="42" xfId="0" quotePrefix="1" applyFont="1" applyFill="1" applyBorder="1" applyAlignment="1" applyProtection="1">
      <alignment horizontal="left" vertical="center" wrapText="1"/>
      <protection locked="0"/>
    </xf>
    <xf numFmtId="0" fontId="0" fillId="0" borderId="68" xfId="0" applyFont="1" applyFill="1" applyBorder="1" applyAlignment="1" applyProtection="1">
      <alignment horizontal="left" vertical="center"/>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94">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AA-%20Trait&#233;%20CMRT\Amaloy\RMI_CMRT_6.31_Amallo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AA-%20Trait&#233;%20CMRT\Hacer\RMI_CMRT_6.31%20Marnaz.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AA-%20Trait&#233;%20CMRT\IMO%20GMBH\IMO_preliminary_RMI_CMRT_6.31_13.1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AA-%20Trait&#233;%20CMRT\Legeni\RMI_CMRT_6.31---LEGENI---2023-06-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Swissmetal\RMI_CMRT_6.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Tehrotech\RMI_CMRT_6.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TS16949_V2002\ISO_EN_14001\Substances%20dangereuses\REACH-ROHS-CONFLICT%20MINERALS\CONFLICT%20MINERALS\Campagne%20de%20renseignement%20fournisseur\2024\Wieland\2024\2023_07_21_Wieland%20Werke%20AG_RMI_CMRT_version%206.31_compan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v>0</v>
          </cell>
        </row>
        <row r="556">
          <cell r="J556">
            <v>0</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uido@mgb.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guido@mgb.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314">
        <v>2.0099999999999998</v>
      </c>
      <c r="C15" s="305" t="s">
        <v>1078</v>
      </c>
      <c r="D15" s="317" t="s">
        <v>2229</v>
      </c>
      <c r="E15" s="164" t="s">
        <v>610</v>
      </c>
      <c r="F15" s="164" t="s">
        <v>613</v>
      </c>
      <c r="G15" s="25"/>
    </row>
    <row r="16" spans="1:7" ht="99" customHeight="1">
      <c r="A16" s="308"/>
      <c r="B16" s="315"/>
      <c r="C16" s="306"/>
      <c r="D16" s="318"/>
      <c r="E16" s="165"/>
      <c r="F16" s="165" t="s">
        <v>611</v>
      </c>
      <c r="G16" s="25"/>
    </row>
    <row r="17" spans="1:7" ht="63" customHeight="1">
      <c r="A17" s="308"/>
      <c r="B17" s="316"/>
      <c r="C17" s="307"/>
      <c r="D17" s="319"/>
      <c r="E17" s="27"/>
      <c r="F17" s="27" t="s">
        <v>612</v>
      </c>
      <c r="G17" s="25"/>
    </row>
    <row r="18" spans="1:7" ht="117" customHeight="1">
      <c r="A18" s="308"/>
      <c r="B18" s="314">
        <v>2.02</v>
      </c>
      <c r="C18" s="305" t="s">
        <v>1078</v>
      </c>
      <c r="D18" s="317" t="s">
        <v>2230</v>
      </c>
      <c r="E18" s="164" t="s">
        <v>435</v>
      </c>
      <c r="F18" s="164" t="s">
        <v>521</v>
      </c>
      <c r="G18" s="25"/>
    </row>
    <row r="19" spans="1:7" ht="71.099999999999994" customHeight="1">
      <c r="A19" s="308"/>
      <c r="B19" s="315"/>
      <c r="C19" s="306"/>
      <c r="D19" s="318"/>
      <c r="E19" s="165" t="s">
        <v>525</v>
      </c>
      <c r="F19" s="165" t="s">
        <v>436</v>
      </c>
      <c r="G19" s="25"/>
    </row>
    <row r="20" spans="1:7" ht="90.75" customHeight="1">
      <c r="A20" s="308"/>
      <c r="B20" s="315"/>
      <c r="C20" s="306"/>
      <c r="D20" s="318"/>
      <c r="E20" s="165"/>
      <c r="F20" s="165" t="s">
        <v>615</v>
      </c>
      <c r="G20" s="25"/>
    </row>
    <row r="21" spans="1:7" ht="74.25" customHeight="1">
      <c r="A21" s="308"/>
      <c r="B21" s="316"/>
      <c r="C21" s="307"/>
      <c r="D21" s="319"/>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320">
        <v>3</v>
      </c>
      <c r="C26" s="314" t="s">
        <v>67</v>
      </c>
      <c r="D26" s="317" t="s">
        <v>2233</v>
      </c>
      <c r="E26" s="305" t="s">
        <v>0</v>
      </c>
      <c r="F26" s="164" t="s">
        <v>61</v>
      </c>
      <c r="G26" s="25"/>
    </row>
    <row r="27" spans="1:7" ht="90" customHeight="1">
      <c r="A27" s="308"/>
      <c r="B27" s="321"/>
      <c r="C27" s="315"/>
      <c r="D27" s="318"/>
      <c r="E27" s="306"/>
      <c r="F27" s="165" t="s">
        <v>56</v>
      </c>
      <c r="G27" s="25"/>
    </row>
    <row r="28" spans="1:7" ht="19.350000000000001" customHeight="1">
      <c r="A28" s="308"/>
      <c r="B28" s="321"/>
      <c r="C28" s="315"/>
      <c r="D28" s="318"/>
      <c r="E28" s="306"/>
      <c r="F28" s="165" t="s">
        <v>57</v>
      </c>
      <c r="G28" s="25"/>
    </row>
    <row r="29" spans="1:7" ht="74.45" customHeight="1">
      <c r="A29" s="308"/>
      <c r="B29" s="321"/>
      <c r="C29" s="315"/>
      <c r="D29" s="318"/>
      <c r="E29" s="306"/>
      <c r="F29" s="165" t="s">
        <v>58</v>
      </c>
      <c r="G29" s="25"/>
    </row>
    <row r="30" spans="1:7" ht="62.45" customHeight="1">
      <c r="A30" s="308"/>
      <c r="B30" s="321"/>
      <c r="C30" s="315"/>
      <c r="D30" s="318"/>
      <c r="E30" s="306"/>
      <c r="F30" s="165" t="s">
        <v>59</v>
      </c>
      <c r="G30" s="25"/>
    </row>
    <row r="31" spans="1:7" ht="81" customHeight="1">
      <c r="A31" s="308"/>
      <c r="B31" s="321"/>
      <c r="C31" s="315"/>
      <c r="D31" s="318"/>
      <c r="E31" s="306"/>
      <c r="F31" s="165" t="s">
        <v>60</v>
      </c>
      <c r="G31" s="25"/>
    </row>
    <row r="32" spans="1:7" ht="48.75" customHeight="1">
      <c r="A32" s="308"/>
      <c r="B32" s="321"/>
      <c r="C32" s="315"/>
      <c r="D32" s="318"/>
      <c r="E32" s="306"/>
      <c r="F32" s="165" t="s">
        <v>63</v>
      </c>
      <c r="G32" s="25"/>
    </row>
    <row r="33" spans="1:7" ht="98.45" customHeight="1">
      <c r="A33" s="308"/>
      <c r="B33" s="321"/>
      <c r="C33" s="315"/>
      <c r="D33" s="318"/>
      <c r="E33" s="306"/>
      <c r="F33" s="165" t="s">
        <v>62</v>
      </c>
      <c r="G33" s="25"/>
    </row>
    <row r="34" spans="1:7" ht="89.1" customHeight="1">
      <c r="A34" s="308"/>
      <c r="B34" s="321"/>
      <c r="C34" s="315"/>
      <c r="D34" s="318"/>
      <c r="E34" s="306"/>
      <c r="F34" s="165" t="s">
        <v>64</v>
      </c>
      <c r="G34" s="25"/>
    </row>
    <row r="35" spans="1:7" ht="29.1" customHeight="1">
      <c r="A35" s="308"/>
      <c r="B35" s="321"/>
      <c r="C35" s="315"/>
      <c r="D35" s="318"/>
      <c r="E35" s="306"/>
      <c r="F35" s="165" t="s">
        <v>65</v>
      </c>
      <c r="G35" s="25"/>
    </row>
    <row r="36" spans="1:7" ht="126.75">
      <c r="A36" s="308"/>
      <c r="B36" s="322"/>
      <c r="C36" s="316"/>
      <c r="D36" s="319"/>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3.95" customHeight="1">
      <c r="A3" s="74"/>
      <c r="B3" s="63" t="str">
        <f ca="1">OFFSET(L!$C$1,MATCH("Definitions"&amp;ADDRESS(ROW(),COLUMN(),4),L!$A:$A,0)-1,SL,,)</f>
        <v>3TG</v>
      </c>
      <c r="C3" s="63" t="str">
        <f ca="1">OFFSET(L!$C$1,MATCH("Definitions"&amp;ADDRESS(ROW(),COLUMN(),4),L!$A:$A,0)-1,SL,,)</f>
        <v>Tantalum, tin, tungsten, gold</v>
      </c>
      <c r="D3" s="327"/>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1301</v>
      </c>
    </row>
    <row r="10" spans="1:5" ht="45">
      <c r="A10" s="74"/>
      <c r="B10" s="63" t="str">
        <f ca="1">OFFSET(L!$C$1,MATCH("Definitions"&amp;ADDRESS(ROW(),COLUMN(),4),L!$A:$A,0)-1,SL,,)</f>
        <v>DRC</v>
      </c>
      <c r="C10" s="63" t="str">
        <f ca="1">OFFSET(L!$C$1,MATCH("Definitions"&amp;ADDRESS(ROW(),COLUMN(),4),L!$A:$A,0)-1,SL,,)</f>
        <v>Democratic Republic of Congo</v>
      </c>
      <c r="D10" s="327"/>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2024 Responsible Minerals Initiative. All rights reserved.</v>
      </c>
      <c r="C32" s="326"/>
      <c r="D32" s="327"/>
      <c r="E32" s="100"/>
    </row>
    <row r="33" spans="1:4" ht="13.5" thickBot="1">
      <c r="A33" s="75"/>
      <c r="B33" s="153"/>
      <c r="C33" s="153"/>
      <c r="D33" s="328"/>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6" zoomScalePageLayoutView="70" workbookViewId="0">
      <selection activeCell="G65" sqref="G65:J6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5"/>
      <c r="G3" s="375"/>
      <c r="H3" s="375"/>
      <c r="I3" s="152"/>
      <c r="J3" s="138" t="s">
        <v>15760</v>
      </c>
      <c r="K3" s="36"/>
      <c r="L3" s="100"/>
      <c r="P3" s="45">
        <f>MATCH($D$3,LN,0)</f>
        <v>1</v>
      </c>
    </row>
    <row r="4" spans="1:34" ht="15.75">
      <c r="A4" s="34"/>
      <c r="B4" s="370" t="str">
        <f ca="1">OFFSET(L!$C$1,MATCH("Declaration"&amp;ADDRESS(ROW(),COLUMN(),4),L!$A:$A,0)-1,SL,,)</f>
        <v>The purpose of this document is to collect sourcing information on tin, tantalum, tungsten and gold used in products</v>
      </c>
      <c r="C4" s="370"/>
      <c r="D4" s="370"/>
      <c r="E4" s="370"/>
      <c r="F4" s="370"/>
      <c r="G4" s="370"/>
      <c r="H4" s="370"/>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15878</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490</v>
      </c>
      <c r="E9" s="378"/>
      <c r="F9" s="378"/>
      <c r="G9" s="37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1" t="s">
        <v>15879</v>
      </c>
      <c r="E10" s="372"/>
      <c r="F10" s="372"/>
      <c r="G10" s="372"/>
      <c r="H10" s="372"/>
      <c r="I10" s="372"/>
      <c r="J10" s="373"/>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9"/>
      <c r="E12" s="330"/>
      <c r="F12" s="330"/>
      <c r="G12" s="330"/>
      <c r="H12" s="330"/>
      <c r="I12" s="330"/>
      <c r="J12" s="33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9"/>
      <c r="E13" s="330"/>
      <c r="F13" s="330"/>
      <c r="G13" s="330"/>
      <c r="H13" s="330"/>
      <c r="I13" s="330"/>
      <c r="J13" s="33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2" t="s">
        <v>15880</v>
      </c>
      <c r="E14" s="374"/>
      <c r="F14" s="374"/>
      <c r="G14" s="374"/>
      <c r="H14" s="374"/>
      <c r="I14" s="374"/>
      <c r="J14" s="33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9" t="s">
        <v>15890</v>
      </c>
      <c r="E15" s="330"/>
      <c r="F15" s="330"/>
      <c r="G15" s="330"/>
      <c r="H15" s="330"/>
      <c r="I15" s="330"/>
      <c r="J15" s="33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15888</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15881</v>
      </c>
      <c r="E17" s="369"/>
      <c r="F17" s="369"/>
      <c r="G17" s="369"/>
      <c r="H17" s="369"/>
      <c r="I17" s="369"/>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9" t="s">
        <v>15890</v>
      </c>
      <c r="E18" s="330"/>
      <c r="F18" s="330"/>
      <c r="G18" s="330"/>
      <c r="H18" s="330"/>
      <c r="I18" s="330"/>
      <c r="J18" s="33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9" t="s">
        <v>15889</v>
      </c>
      <c r="E19" s="330"/>
      <c r="F19" s="330"/>
      <c r="G19" s="330"/>
      <c r="H19" s="330"/>
      <c r="I19" s="330"/>
      <c r="J19" s="33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15888</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6" t="s">
        <v>15881</v>
      </c>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9">
        <v>45624</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2" t="s">
        <v>485</v>
      </c>
      <c r="E26" s="333"/>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2" t="s">
        <v>484</v>
      </c>
      <c r="E27" s="333"/>
      <c r="F27" s="12"/>
      <c r="G27" s="334" t="s">
        <v>15882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2" t="s">
        <v>484</v>
      </c>
      <c r="E28" s="333"/>
      <c r="F28" s="12"/>
      <c r="G28" s="334" t="s">
        <v>15883</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2" t="s">
        <v>484</v>
      </c>
      <c r="E29" s="333"/>
      <c r="F29" s="12"/>
      <c r="G29" s="334" t="s">
        <v>15891</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1"/>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2" t="s">
        <v>484</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2" t="s">
        <v>484</v>
      </c>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2" t="s">
        <v>484</v>
      </c>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2"/>
      <c r="E38" s="333"/>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2" t="s">
        <v>486</v>
      </c>
      <c r="E39" s="333"/>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2" t="s">
        <v>486</v>
      </c>
      <c r="E40" s="333"/>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2" t="s">
        <v>486</v>
      </c>
      <c r="E41" s="333"/>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2"/>
      <c r="E44" s="333"/>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486</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2" t="s">
        <v>486</v>
      </c>
      <c r="E46" s="333"/>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2" t="s">
        <v>486</v>
      </c>
      <c r="E47" s="333"/>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2"/>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2" t="s">
        <v>486</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2" t="s">
        <v>486</v>
      </c>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2" t="s">
        <v>486</v>
      </c>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3" t="s">
        <v>2463</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3" t="s">
        <v>2463</v>
      </c>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3" t="s">
        <v>2463</v>
      </c>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1"/>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484</v>
      </c>
      <c r="E63" s="333"/>
      <c r="F63" s="47"/>
      <c r="G63" s="334" t="s">
        <v>15884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484</v>
      </c>
      <c r="E64" s="333"/>
      <c r="F64" s="47"/>
      <c r="G64" s="334" t="s">
        <v>15884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2" t="s">
        <v>484</v>
      </c>
      <c r="E65" s="333"/>
      <c r="F65" s="47"/>
      <c r="G65" s="334" t="s">
        <v>15884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2"/>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2" t="s">
        <v>484</v>
      </c>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2" t="s">
        <v>484</v>
      </c>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2" t="s">
        <v>484</v>
      </c>
      <c r="E75" s="333"/>
      <c r="F75" s="57"/>
      <c r="G75" s="334" t="s">
        <v>15885</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485</v>
      </c>
      <c r="E77" s="333"/>
      <c r="F77" s="57"/>
      <c r="G77" s="357"/>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34" t="s">
        <v>15886</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484</v>
      </c>
      <c r="E81" s="333"/>
      <c r="F81" s="57"/>
      <c r="G81" s="334" t="s">
        <v>15887</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2" t="s">
        <v>485</v>
      </c>
      <c r="E87" s="333"/>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485</v>
      </c>
      <c r="E89" s="333"/>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7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93" priority="182" stopIfTrue="1">
      <formula>IF($D$22="",TRUE)</formula>
    </cfRule>
  </conditionalFormatting>
  <conditionalFormatting sqref="D26:E26">
    <cfRule type="expression" dxfId="192" priority="160" stopIfTrue="1">
      <formula>IF($D$26="",TRUE)</formula>
    </cfRule>
  </conditionalFormatting>
  <conditionalFormatting sqref="D27:E27">
    <cfRule type="expression" dxfId="191" priority="167" stopIfTrue="1">
      <formula>IF($D$27="",TRUE)</formula>
    </cfRule>
  </conditionalFormatting>
  <conditionalFormatting sqref="D28:E28">
    <cfRule type="expression" dxfId="190" priority="168" stopIfTrue="1">
      <formula>IF($D$28="",TRUE)</formula>
    </cfRule>
  </conditionalFormatting>
  <conditionalFormatting sqref="D29:E29">
    <cfRule type="expression" dxfId="189" priority="169" stopIfTrue="1">
      <formula>IF($D$29="",TRUE)</formula>
    </cfRule>
  </conditionalFormatting>
  <conditionalFormatting sqref="D32:E32">
    <cfRule type="expression" dxfId="188" priority="78" stopIfTrue="1">
      <formula>IF(AND(OR($D$26="Yes",$D$26=""),$D$32=""),1,0)</formula>
    </cfRule>
    <cfRule type="expression" dxfId="187" priority="165" stopIfTrue="1">
      <formula>$P$26=""</formula>
    </cfRule>
  </conditionalFormatting>
  <conditionalFormatting sqref="D33:E33">
    <cfRule type="expression" dxfId="186" priority="66" stopIfTrue="1">
      <formula>$P$27=""</formula>
    </cfRule>
    <cfRule type="expression" dxfId="185" priority="65" stopIfTrue="1">
      <formula>IF(AND(OR($D$27="Yes",$D$27=""),$D$33=""),1,0)</formula>
    </cfRule>
  </conditionalFormatting>
  <conditionalFormatting sqref="D34:E34">
    <cfRule type="expression" dxfId="184" priority="24" stopIfTrue="1">
      <formula>IF(AND(OR($D$28="Yes",$D$28=""),$D$34=""),1,0)</formula>
    </cfRule>
    <cfRule type="expression" dxfId="183" priority="25" stopIfTrue="1">
      <formula>$P$28=""</formula>
    </cfRule>
  </conditionalFormatting>
  <conditionalFormatting sqref="D35:E35">
    <cfRule type="expression" dxfId="182" priority="62" stopIfTrue="1">
      <formula>IF(AND(OR($D$29="Yes",$D$29=""),$D$35=""),1,0)</formula>
    </cfRule>
    <cfRule type="expression" dxfId="181" priority="186" stopIfTrue="1">
      <formula>$P$29=""</formula>
    </cfRule>
  </conditionalFormatting>
  <conditionalFormatting sqref="D38:E38 D44:E44 D50:E50 D56:E56 D62:E62 D68:E68">
    <cfRule type="expression" dxfId="180" priority="41" stopIfTrue="1">
      <formula>$P$26=""</formula>
    </cfRule>
    <cfRule type="expression" dxfId="179" priority="42" stopIfTrue="1">
      <formula>$P$32=""</formula>
    </cfRule>
  </conditionalFormatting>
  <conditionalFormatting sqref="D38:E38">
    <cfRule type="expression" dxfId="178" priority="77" stopIfTrue="1">
      <formula>IF(AND(OR($D$26="Yes",$D$26=""),OR($D$32="Yes",$D$32=""),D38=""),1,0)</formula>
    </cfRule>
  </conditionalFormatting>
  <conditionalFormatting sqref="D39:E39 D57:E57 D63:E65 D69:E71">
    <cfRule type="expression" dxfId="177" priority="35" stopIfTrue="1">
      <formula>$P$33=""</formula>
    </cfRule>
    <cfRule type="expression" dxfId="176" priority="36" stopIfTrue="1">
      <formula>$P$39=""</formula>
    </cfRule>
  </conditionalFormatting>
  <conditionalFormatting sqref="D39:E39">
    <cfRule type="expression" dxfId="175" priority="73" stopIfTrue="1">
      <formula>IF(AND(OR($D$27="Yes",$D$27=""),OR($D$33="Yes",$D$33=""),D39=""),1,0)</formula>
    </cfRule>
  </conditionalFormatting>
  <conditionalFormatting sqref="D44:E44">
    <cfRule type="expression" dxfId="171" priority="76" stopIfTrue="1">
      <formula>IF(AND(OR($D$26="Yes",$D$26=""),OR($D$32="Yes",$D$32=""),D44=""),1,0)</formula>
    </cfRule>
  </conditionalFormatting>
  <conditionalFormatting sqref="D50:E50">
    <cfRule type="expression" dxfId="169" priority="44" stopIfTrue="1">
      <formula>IF(AND(OR($D$26="Yes",$D$26=""),OR($D$32="Yes",$D$32=""),D50=""),1,0)</formula>
    </cfRule>
  </conditionalFormatting>
  <conditionalFormatting sqref="D56:E56">
    <cfRule type="expression" dxfId="167" priority="52" stopIfTrue="1">
      <formula>IF(AND(OR($D$26="Yes",$D$26=""),OR($D$32="Yes",$D$32=""),D56=""),1,0)</formula>
    </cfRule>
  </conditionalFormatting>
  <conditionalFormatting sqref="D57:E57">
    <cfRule type="expression" dxfId="166" priority="40" stopIfTrue="1">
      <formula>IF(AND(OR($D$27="Yes",$D$27=""),OR($D$33="Yes",$D$33=""),D57=""),1,0)</formula>
    </cfRule>
  </conditionalFormatting>
  <conditionalFormatting sqref="D62:E62">
    <cfRule type="expression" dxfId="164" priority="51" stopIfTrue="1">
      <formula>IF(AND(OR($D$26="Yes",$D$26=""),OR($D$32="Yes",$D$32=""),D62=""),1,0)</formula>
    </cfRule>
  </conditionalFormatting>
  <conditionalFormatting sqref="D63:E65">
    <cfRule type="expression" dxfId="163" priority="37" stopIfTrue="1">
      <formula>IF(AND(OR($D$27="Yes",$D$27=""),OR($D$33="Yes",$D$33=""),D63=""),1,0)</formula>
    </cfRule>
  </conditionalFormatting>
  <conditionalFormatting sqref="D68:E68">
    <cfRule type="expression" dxfId="161" priority="43" stopIfTrue="1">
      <formula>IF(AND(OR($D$26="Yes",$D$26=""),OR($D$32="Yes",$D$32=""),D68=""),1,0)</formula>
    </cfRule>
  </conditionalFormatting>
  <conditionalFormatting sqref="D69:E71">
    <cfRule type="expression" dxfId="160" priority="39" stopIfTrue="1">
      <formula>IF(AND(OR($D$27="Yes",$D$27=""),OR($D$33="Yes",$D$33=""),D69=""),1,0)</formula>
    </cfRule>
  </conditionalFormatting>
  <conditionalFormatting sqref="D75:E75 D77:E77 D83 D85:E85 D87:E87 D89:E89 D79:E79 D81:E81">
    <cfRule type="expression" dxfId="158" priority="108" stopIfTrue="1">
      <formula>AND(OR($D$26="No",AND($D$26="Yes",$D$32="No")),OR($D$27="No",AND($D$27="Yes",$D$33="No")),OR($D$28="No",AND($D$28="Yes",$D$34="No")),OR($D$29="No",AND($D$29="Yes",$D$35="No")))</formula>
    </cfRule>
    <cfRule type="expression" dxfId="157" priority="109" stopIfTrue="1">
      <formula>IF(D75="",TRUE)</formula>
    </cfRule>
  </conditionalFormatting>
  <conditionalFormatting sqref="D9:G9">
    <cfRule type="expression" dxfId="156" priority="175" stopIfTrue="1">
      <formula>IF($D$9="",TRUE)</formula>
    </cfRule>
  </conditionalFormatting>
  <conditionalFormatting sqref="D10:J10">
    <cfRule type="expression" dxfId="155" priority="189" stopIfTrue="1">
      <formula>IF(AND($D$10="",$D$9=$R$9),TRUE)</formula>
    </cfRule>
    <cfRule type="expression" dxfId="154" priority="79" stopIfTrue="1">
      <formula>IF($D$9=$Q$9,TRUE)</formula>
    </cfRule>
  </conditionalFormatting>
  <conditionalFormatting sqref="G77:J77">
    <cfRule type="expression" dxfId="153" priority="80" stopIfTrue="1">
      <formula>IF(AND($D$77="Yes",$G$77=""),TRUE)</formula>
    </cfRule>
  </conditionalFormatting>
  <conditionalFormatting sqref="G85:J85">
    <cfRule type="expression" dxfId="152" priority="70" stopIfTrue="1">
      <formula>IF(AND($D$85="Yes, using other format (describe)",$G$85=""),TRUE)</formula>
    </cfRule>
  </conditionalFormatting>
  <conditionalFormatting sqref="D8:J8">
    <cfRule type="expression" dxfId="151" priority="23" stopIfTrue="1">
      <formula>IF($D$8="",TRUE)</formula>
    </cfRule>
  </conditionalFormatting>
  <conditionalFormatting sqref="D15:J15">
    <cfRule type="expression" dxfId="150" priority="21" stopIfTrue="1">
      <formula>IF($D$15="",TRUE)</formula>
    </cfRule>
  </conditionalFormatting>
  <conditionalFormatting sqref="D16:J16">
    <cfRule type="expression" dxfId="149" priority="22" stopIfTrue="1">
      <formula>IF($D$16="",TRUE)</formula>
    </cfRule>
  </conditionalFormatting>
  <conditionalFormatting sqref="D17:J17">
    <cfRule type="expression" dxfId="148" priority="20" stopIfTrue="1">
      <formula>IF($D$17="",TRUE)</formula>
    </cfRule>
  </conditionalFormatting>
  <conditionalFormatting sqref="D20:J20">
    <cfRule type="expression" dxfId="147" priority="19" stopIfTrue="1">
      <formula>IF($D$16="",TRUE)</formula>
    </cfRule>
  </conditionalFormatting>
  <conditionalFormatting sqref="D40:E41">
    <cfRule type="expression" dxfId="146" priority="16" stopIfTrue="1">
      <formula>$P$33=""</formula>
    </cfRule>
    <cfRule type="expression" dxfId="145" priority="17" stopIfTrue="1">
      <formula>$P$39=""</formula>
    </cfRule>
  </conditionalFormatting>
  <conditionalFormatting sqref="D40:E41">
    <cfRule type="expression" dxfId="144" priority="18" stopIfTrue="1">
      <formula>IF(AND(OR($D$27="Yes",$D$27=""),OR($D$33="Yes",$D$33=""),D40=""),1,0)</formula>
    </cfRule>
  </conditionalFormatting>
  <conditionalFormatting sqref="D45:E45">
    <cfRule type="expression" dxfId="143" priority="13" stopIfTrue="1">
      <formula>$P$33=""</formula>
    </cfRule>
    <cfRule type="expression" dxfId="142" priority="14" stopIfTrue="1">
      <formula>$P$39=""</formula>
    </cfRule>
  </conditionalFormatting>
  <conditionalFormatting sqref="D45:E45">
    <cfRule type="expression" dxfId="141" priority="15" stopIfTrue="1">
      <formula>IF(AND(OR($D$27="Yes",$D$27=""),OR($D$33="Yes",$D$33=""),D45=""),1,0)</formula>
    </cfRule>
  </conditionalFormatting>
  <conditionalFormatting sqref="D46:E47">
    <cfRule type="expression" dxfId="140" priority="10" stopIfTrue="1">
      <formula>$P$33=""</formula>
    </cfRule>
    <cfRule type="expression" dxfId="139" priority="11" stopIfTrue="1">
      <formula>$P$39=""</formula>
    </cfRule>
  </conditionalFormatting>
  <conditionalFormatting sqref="D46:E47">
    <cfRule type="expression" dxfId="138" priority="12" stopIfTrue="1">
      <formula>IF(AND(OR($D$27="Yes",$D$27=""),OR($D$33="Yes",$D$33=""),D46=""),1,0)</formula>
    </cfRule>
  </conditionalFormatting>
  <conditionalFormatting sqref="D51:E51">
    <cfRule type="expression" dxfId="137" priority="7" stopIfTrue="1">
      <formula>$P$33=""</formula>
    </cfRule>
    <cfRule type="expression" dxfId="136" priority="8" stopIfTrue="1">
      <formula>$P$39=""</formula>
    </cfRule>
  </conditionalFormatting>
  <conditionalFormatting sqref="D51:E51">
    <cfRule type="expression" dxfId="135" priority="9" stopIfTrue="1">
      <formula>IF(AND(OR($D$27="Yes",$D$27=""),OR($D$33="Yes",$D$33=""),D51=""),1,0)</formula>
    </cfRule>
  </conditionalFormatting>
  <conditionalFormatting sqref="D52:E53">
    <cfRule type="expression" dxfId="134" priority="4" stopIfTrue="1">
      <formula>$P$33=""</formula>
    </cfRule>
    <cfRule type="expression" dxfId="133" priority="5" stopIfTrue="1">
      <formula>$P$39=""</formula>
    </cfRule>
  </conditionalFormatting>
  <conditionalFormatting sqref="D52:E53">
    <cfRule type="expression" dxfId="132" priority="6" stopIfTrue="1">
      <formula>IF(AND(OR($D$27="Yes",$D$27=""),OR($D$33="Yes",$D$33=""),D52=""),1,0)</formula>
    </cfRule>
  </conditionalFormatting>
  <conditionalFormatting sqref="D58:E59">
    <cfRule type="expression" dxfId="131" priority="1" stopIfTrue="1">
      <formula>$P$33=""</formula>
    </cfRule>
    <cfRule type="expression" dxfId="130" priority="2" stopIfTrue="1">
      <formula>$P$39=""</formula>
    </cfRule>
  </conditionalFormatting>
  <conditionalFormatting sqref="D58:E59">
    <cfRule type="expression" dxfId="129" priority="3" stopIfTrue="1">
      <formula>IF(AND(OR($D$27="Yes",$D$27=""),OR($D$33="Yes",$D$33=""),D58=""),1,0)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4" zoomScaleNormal="100" zoomScalePageLayoutView="55" workbookViewId="0">
      <selection activeCell="A5" sqref="A5:XFD13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484</v>
      </c>
    </row>
    <row r="3" spans="1:34" s="221" customFormat="1" ht="173.45"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2024 Responsible Minerals Initiative. All rights reserved.</v>
      </c>
      <c r="H3" s="395"/>
      <c r="I3" s="396"/>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2248</v>
      </c>
      <c r="D5" s="230"/>
      <c r="E5" s="182" t="s">
        <v>1090</v>
      </c>
      <c r="F5" s="182" t="s">
        <v>2261</v>
      </c>
      <c r="G5" s="182" t="s">
        <v>13217</v>
      </c>
      <c r="H5" s="183">
        <v>0</v>
      </c>
      <c r="I5" s="184" t="s">
        <v>1760</v>
      </c>
      <c r="J5" s="184" t="s">
        <v>13600</v>
      </c>
      <c r="K5" s="224"/>
      <c r="L5" s="224"/>
      <c r="M5" s="224"/>
      <c r="N5" s="224"/>
      <c r="O5" s="224"/>
      <c r="P5" s="185"/>
      <c r="Q5" s="225"/>
      <c r="R5" s="182" t="s">
        <v>2318</v>
      </c>
      <c r="S5" s="181" t="str">
        <f t="shared" ref="S5" ca="1" si="0">IF(B5="","",IF(ISERROR(MATCH($E5,CL,0)),"Unknown",INDIRECT("'C'!$A$"&amp;MATCH($E5,CL,0)+1)))</f>
        <v>CN</v>
      </c>
      <c r="T5" s="181" t="str">
        <f ca="1">IF(B5="","",IF(ISERROR(MATCH($J5,[1]SorP!$B$1:$B$6279,0)),"",INDIRECT("'SorP'!$A$"&amp;MATCH($S5&amp;$J5,[1]SorP!C:C,0))))</f>
        <v>CN-HN</v>
      </c>
      <c r="U5" s="201"/>
      <c r="V5" s="226">
        <f>IF(C5="",NA(),IF(OR(C5="Smelter not listed",C5="Smelter not yet identified"),MATCH($B5&amp;$D5,'[1]Smelter Look-up'!$J:$J,0),MATCH($B5&amp;$C5,'[1]Smelter Look-up'!$J:$J,0)))</f>
        <v>399</v>
      </c>
      <c r="X5" s="227">
        <f t="shared" ref="X5:X68" si="1">IF(AND(C5="Smelter not listed",OR(LEN(D5)=0,LEN(E5)=0)),1,0)</f>
        <v>0</v>
      </c>
      <c r="AB5" s="228" t="str">
        <f t="shared" ref="AB5:AB68" si="2">B5&amp;C5</f>
        <v>TinChenzhou Yun Xiang mining limited liability company</v>
      </c>
    </row>
    <row r="6" spans="1:34" s="227" customFormat="1" ht="19.899999999999999" customHeight="1">
      <c r="A6" s="262"/>
      <c r="B6" s="182" t="s">
        <v>1120</v>
      </c>
      <c r="C6" s="186" t="s">
        <v>13778</v>
      </c>
      <c r="D6" s="230"/>
      <c r="E6" s="182" t="s">
        <v>1095</v>
      </c>
      <c r="F6" s="182" t="s">
        <v>776</v>
      </c>
      <c r="G6" s="182" t="s">
        <v>13217</v>
      </c>
      <c r="H6" s="183"/>
      <c r="I6" s="184" t="s">
        <v>1780</v>
      </c>
      <c r="J6" s="184" t="s">
        <v>12830</v>
      </c>
      <c r="K6" s="224"/>
      <c r="L6" s="224"/>
      <c r="M6" s="224"/>
      <c r="N6" s="224"/>
      <c r="O6" s="224"/>
      <c r="P6" s="185"/>
      <c r="Q6" s="225"/>
      <c r="R6" s="182" t="s">
        <v>13778</v>
      </c>
      <c r="S6" s="181" t="str">
        <f t="shared" ref="S6" ca="1" si="3">IF(B6="","",IF(ISERROR(MATCH($E6,CL,0)),"Unknown",INDIRECT("'C'!$A$"&amp;MATCH($E6,CL,0)+1)))</f>
        <v>ID</v>
      </c>
      <c r="T6" s="181" t="str">
        <f ca="1">IF(B6="","",IF(ISERROR(MATCH($J6,[2]SorP!$B$1:$B$6279,0)),"",INDIRECT("'SorP'!$A$"&amp;MATCH($S6&amp;$J6,[2]SorP!C:C,0))))</f>
        <v>ID-BB</v>
      </c>
      <c r="U6" s="201"/>
      <c r="V6" s="226">
        <f>IF(C6="",NA(),IF(OR(C6="Smelter not listed",C6="Smelter not yet identified"),MATCH($B6&amp;$D6,'[2]Smelter Look-up'!$J:$J,0),MATCH($B6&amp;$C6,'[2]Smelter Look-up'!$J:$J,0)))</f>
        <v>514</v>
      </c>
      <c r="X6" s="227">
        <f t="shared" si="1"/>
        <v>0</v>
      </c>
      <c r="AB6" s="228" t="str">
        <f t="shared" si="2"/>
        <v>TinPT Timah Tbk Mentok</v>
      </c>
    </row>
    <row r="7" spans="1:34" s="227" customFormat="1" ht="19.899999999999999" customHeight="1">
      <c r="A7" s="262"/>
      <c r="B7" s="182" t="s">
        <v>1119</v>
      </c>
      <c r="C7" s="186" t="s">
        <v>2314</v>
      </c>
      <c r="D7" s="230"/>
      <c r="E7" s="182" t="s">
        <v>1085</v>
      </c>
      <c r="F7" s="182" t="s">
        <v>732</v>
      </c>
      <c r="G7" s="182" t="s">
        <v>13217</v>
      </c>
      <c r="H7" s="183"/>
      <c r="I7" s="184" t="s">
        <v>1667</v>
      </c>
      <c r="J7" s="184" t="s">
        <v>3135</v>
      </c>
      <c r="K7" s="224"/>
      <c r="L7" s="224"/>
      <c r="M7" s="224"/>
      <c r="N7" s="224"/>
      <c r="O7" s="224"/>
      <c r="P7" s="185"/>
      <c r="Q7" s="225"/>
      <c r="R7" s="182" t="s">
        <v>2314</v>
      </c>
      <c r="S7" s="181" t="str">
        <f t="shared" ref="S7:S13" ca="1" si="4">IF(B7="","",IF(ISERROR(MATCH($E7,CL,0)),"Unknown",INDIRECT("'C'!$A$"&amp;MATCH($E7,CL,0)+1)))</f>
        <v>BE</v>
      </c>
      <c r="T7" s="181" t="str">
        <f ca="1">IF(B7="","",IF(ISERROR(MATCH($J7,[2]SorP!$B$1:$B$6279,0)),"",INDIRECT("'SorP'!$A$"&amp;MATCH($S7&amp;$J7,[2]SorP!C:C,0))))</f>
        <v>BE-VAN</v>
      </c>
      <c r="U7" s="201"/>
      <c r="V7" s="226">
        <f>IF(C7="",NA(),IF(OR(C7="Smelter not listed",C7="Smelter not yet identified"),MATCH($B7&amp;$D7,'[2]Smelter Look-up'!$J:$J,0),MATCH($B7&amp;$C7,'[2]Smelter Look-up'!$J:$J,0)))</f>
        <v>293</v>
      </c>
      <c r="X7" s="227">
        <f t="shared" si="1"/>
        <v>0</v>
      </c>
      <c r="AB7" s="228" t="str">
        <f t="shared" si="2"/>
        <v>GoldUmicore S.A. Business Unit Precious Metals Refining</v>
      </c>
    </row>
    <row r="8" spans="1:34" s="227" customFormat="1" ht="19.899999999999999" customHeight="1">
      <c r="A8" s="262"/>
      <c r="B8" s="182" t="s">
        <v>1119</v>
      </c>
      <c r="C8" s="186" t="s">
        <v>1156</v>
      </c>
      <c r="D8" s="230"/>
      <c r="E8" s="182" t="s">
        <v>1088</v>
      </c>
      <c r="F8" s="182" t="s">
        <v>701</v>
      </c>
      <c r="G8" s="182" t="s">
        <v>13217</v>
      </c>
      <c r="H8" s="183" t="s">
        <v>15855</v>
      </c>
      <c r="I8" s="184" t="s">
        <v>1614</v>
      </c>
      <c r="J8" s="184" t="s">
        <v>1615</v>
      </c>
      <c r="K8" s="224"/>
      <c r="L8" s="224"/>
      <c r="M8" s="224"/>
      <c r="N8" s="224" t="s">
        <v>15856</v>
      </c>
      <c r="O8" s="224" t="s">
        <v>15856</v>
      </c>
      <c r="P8" s="185" t="s">
        <v>485</v>
      </c>
      <c r="Q8" s="225"/>
      <c r="R8" s="182" t="s">
        <v>2288</v>
      </c>
      <c r="S8" s="181" t="str">
        <f t="shared" ca="1" si="4"/>
        <v>CH</v>
      </c>
      <c r="T8" s="181" t="str">
        <f ca="1">IF(B8="","",IF(ISERROR(MATCH($J8,[2]SorP!$B$1:$B$6279,0)),"",INDIRECT("'SorP'!$A$"&amp;MATCH($S8&amp;$J8,[2]SorP!C:C,0))))</f>
        <v>CH-NE</v>
      </c>
      <c r="U8" s="201"/>
      <c r="V8" s="226">
        <f>IF(C8="",NA(),IF(OR(C8="Smelter not listed",C8="Smelter not yet identified"),MATCH($B8&amp;$D8,'[2]Smelter Look-up'!$J:$J,0),MATCH($B8&amp;$C8,'[2]Smelter Look-up'!$J:$J,0)))</f>
        <v>171</v>
      </c>
      <c r="X8" s="227">
        <f t="shared" si="1"/>
        <v>0</v>
      </c>
      <c r="AB8" s="228" t="str">
        <f t="shared" si="2"/>
        <v>GoldMetalor Switzerland</v>
      </c>
    </row>
    <row r="9" spans="1:34" s="227" customFormat="1" ht="19.899999999999999" customHeight="1">
      <c r="A9" s="262"/>
      <c r="B9" s="182" t="s">
        <v>1119</v>
      </c>
      <c r="C9" s="186" t="s">
        <v>2134</v>
      </c>
      <c r="D9" s="230"/>
      <c r="E9" s="182" t="s">
        <v>1090</v>
      </c>
      <c r="F9" s="182" t="s">
        <v>699</v>
      </c>
      <c r="G9" s="182" t="s">
        <v>13217</v>
      </c>
      <c r="H9" s="183" t="s">
        <v>15857</v>
      </c>
      <c r="I9" s="184" t="s">
        <v>1613</v>
      </c>
      <c r="J9" s="184" t="s">
        <v>15858</v>
      </c>
      <c r="K9" s="224"/>
      <c r="L9" s="224"/>
      <c r="M9" s="224"/>
      <c r="N9" s="224" t="s">
        <v>15856</v>
      </c>
      <c r="O9" s="224" t="s">
        <v>15856</v>
      </c>
      <c r="P9" s="185" t="s">
        <v>485</v>
      </c>
      <c r="Q9" s="225"/>
      <c r="R9" s="182" t="s">
        <v>2134</v>
      </c>
      <c r="S9" s="181" t="str">
        <f t="shared" ca="1" si="4"/>
        <v>CN</v>
      </c>
      <c r="T9" s="181" t="str">
        <f ca="1">IF(B9="","",IF(ISERROR(MATCH($J9,[2]SorP!$B$1:$B$6279,0)),"",INDIRECT("'SorP'!$A$"&amp;MATCH($S9&amp;$J9,[2]SorP!C:C,0))))</f>
        <v>CN-HK</v>
      </c>
      <c r="U9" s="201"/>
      <c r="V9" s="226">
        <f>IF(C9="",NA(),IF(OR(C9="Smelter not listed",C9="Smelter not yet identified"),MATCH($B9&amp;$D9,'[2]Smelter Look-up'!$J:$J,0),MATCH($B9&amp;$C9,'[2]Smelter Look-up'!$J:$J,0)))</f>
        <v>172</v>
      </c>
      <c r="X9" s="227">
        <f t="shared" si="1"/>
        <v>0</v>
      </c>
      <c r="AB9" s="228" t="str">
        <f t="shared" si="2"/>
        <v>GoldMetalor Technologies (Hong Kong) Ltd.</v>
      </c>
    </row>
    <row r="10" spans="1:34" s="227" customFormat="1" ht="19.899999999999999" customHeight="1">
      <c r="A10" s="262"/>
      <c r="B10" s="182" t="s">
        <v>1119</v>
      </c>
      <c r="C10" s="186" t="s">
        <v>2135</v>
      </c>
      <c r="D10" s="230"/>
      <c r="E10" s="182" t="s">
        <v>876</v>
      </c>
      <c r="F10" s="182" t="s">
        <v>700</v>
      </c>
      <c r="G10" s="182" t="s">
        <v>13217</v>
      </c>
      <c r="H10" s="183" t="s">
        <v>15859</v>
      </c>
      <c r="I10" s="184" t="s">
        <v>12701</v>
      </c>
      <c r="J10" s="184" t="s">
        <v>10273</v>
      </c>
      <c r="K10" s="224"/>
      <c r="L10" s="224"/>
      <c r="M10" s="224"/>
      <c r="N10" s="224" t="s">
        <v>15856</v>
      </c>
      <c r="O10" s="224" t="s">
        <v>15856</v>
      </c>
      <c r="P10" s="185" t="s">
        <v>485</v>
      </c>
      <c r="Q10" s="225"/>
      <c r="R10" s="182" t="s">
        <v>2135</v>
      </c>
      <c r="S10" s="181" t="str">
        <f t="shared" ca="1" si="4"/>
        <v>SG</v>
      </c>
      <c r="T10" s="181" t="str">
        <f ca="1">IF(B10="","",IF(ISERROR(MATCH($J10,[2]SorP!$B$1:$B$6279,0)),"",INDIRECT("'SorP'!$A$"&amp;MATCH($S10&amp;$J10,[2]SorP!C:C,0))))</f>
        <v>SG-05</v>
      </c>
      <c r="U10" s="201"/>
      <c r="V10" s="226">
        <f>IF(C10="",NA(),IF(OR(C10="Smelter not listed",C10="Smelter not yet identified"),MATCH($B10&amp;$D10,'[2]Smelter Look-up'!$J:$J,0),MATCH($B10&amp;$C10,'[2]Smelter Look-up'!$J:$J,0)))</f>
        <v>173</v>
      </c>
      <c r="X10" s="227">
        <f t="shared" si="1"/>
        <v>0</v>
      </c>
      <c r="AB10" s="228" t="str">
        <f t="shared" si="2"/>
        <v>GoldMetalor Technologies (Singapore) Pte., Ltd.</v>
      </c>
    </row>
    <row r="11" spans="1:34" s="227" customFormat="1" ht="19.899999999999999" customHeight="1">
      <c r="A11" s="262"/>
      <c r="B11" s="182" t="s">
        <v>1119</v>
      </c>
      <c r="C11" s="186" t="s">
        <v>1611</v>
      </c>
      <c r="D11" s="230"/>
      <c r="E11" s="182" t="s">
        <v>1090</v>
      </c>
      <c r="F11" s="182" t="s">
        <v>1612</v>
      </c>
      <c r="G11" s="182" t="s">
        <v>13217</v>
      </c>
      <c r="H11" s="183" t="s">
        <v>15860</v>
      </c>
      <c r="I11" s="184" t="s">
        <v>2495</v>
      </c>
      <c r="J11" s="184" t="s">
        <v>13609</v>
      </c>
      <c r="K11" s="224"/>
      <c r="L11" s="224"/>
      <c r="M11" s="224"/>
      <c r="N11" s="224" t="s">
        <v>15856</v>
      </c>
      <c r="O11" s="224" t="s">
        <v>15856</v>
      </c>
      <c r="P11" s="185" t="s">
        <v>485</v>
      </c>
      <c r="Q11" s="225"/>
      <c r="R11" s="182" t="s">
        <v>1611</v>
      </c>
      <c r="S11" s="181" t="str">
        <f t="shared" ca="1" si="4"/>
        <v>CN</v>
      </c>
      <c r="T11" s="181" t="str">
        <f ca="1">IF(B11="","",IF(ISERROR(MATCH($J11,[2]SorP!$B$1:$B$6279,0)),"",INDIRECT("'SorP'!$A$"&amp;MATCH($S11&amp;$J11,[2]SorP!C:C,0))))</f>
        <v>CN-JS</v>
      </c>
      <c r="U11" s="201"/>
      <c r="V11" s="226">
        <f>IF(C11="",NA(),IF(OR(C11="Smelter not listed",C11="Smelter not yet identified"),MATCH($B11&amp;$D11,'[2]Smelter Look-up'!$J:$J,0),MATCH($B11&amp;$C11,'[2]Smelter Look-up'!$J:$J,0)))</f>
        <v>174</v>
      </c>
      <c r="X11" s="227">
        <f t="shared" si="1"/>
        <v>0</v>
      </c>
      <c r="AB11" s="228" t="str">
        <f t="shared" si="2"/>
        <v>GoldMetalor Technologies (Suzhou) Ltd.</v>
      </c>
    </row>
    <row r="12" spans="1:34" s="227" customFormat="1" ht="19.899999999999999" customHeight="1">
      <c r="A12" s="262"/>
      <c r="B12" s="182" t="s">
        <v>1119</v>
      </c>
      <c r="C12" s="186" t="s">
        <v>2288</v>
      </c>
      <c r="D12" s="230"/>
      <c r="E12" s="182" t="s">
        <v>1088</v>
      </c>
      <c r="F12" s="182" t="s">
        <v>701</v>
      </c>
      <c r="G12" s="182" t="s">
        <v>13217</v>
      </c>
      <c r="H12" s="183" t="s">
        <v>15855</v>
      </c>
      <c r="I12" s="184" t="s">
        <v>1614</v>
      </c>
      <c r="J12" s="184" t="s">
        <v>1615</v>
      </c>
      <c r="K12" s="224"/>
      <c r="L12" s="224"/>
      <c r="M12" s="224"/>
      <c r="N12" s="224" t="s">
        <v>15856</v>
      </c>
      <c r="O12" s="224" t="s">
        <v>15856</v>
      </c>
      <c r="P12" s="185" t="s">
        <v>485</v>
      </c>
      <c r="Q12" s="225"/>
      <c r="R12" s="182" t="s">
        <v>2288</v>
      </c>
      <c r="S12" s="181" t="str">
        <f t="shared" ca="1" si="4"/>
        <v>CH</v>
      </c>
      <c r="T12" s="181" t="str">
        <f ca="1">IF(B12="","",IF(ISERROR(MATCH($J12,[2]SorP!$B$1:$B$6279,0)),"",INDIRECT("'SorP'!$A$"&amp;MATCH($S12&amp;$J12,[2]SorP!C:C,0))))</f>
        <v>CH-NE</v>
      </c>
      <c r="U12" s="201"/>
      <c r="V12" s="226">
        <f>IF(C12="",NA(),IF(OR(C12="Smelter not listed",C12="Smelter not yet identified"),MATCH($B12&amp;$D12,'[2]Smelter Look-up'!$J:$J,0),MATCH($B12&amp;$C12,'[2]Smelter Look-up'!$J:$J,0)))</f>
        <v>175</v>
      </c>
      <c r="X12" s="227">
        <f t="shared" si="1"/>
        <v>0</v>
      </c>
      <c r="AB12" s="228" t="str">
        <f t="shared" si="2"/>
        <v>GoldMetalor Technologies S.A.</v>
      </c>
    </row>
    <row r="13" spans="1:34" s="227" customFormat="1" ht="19.899999999999999" customHeight="1">
      <c r="A13" s="262"/>
      <c r="B13" s="182" t="s">
        <v>1119</v>
      </c>
      <c r="C13" s="186" t="s">
        <v>1217</v>
      </c>
      <c r="D13" s="230"/>
      <c r="E13" s="182" t="s">
        <v>2415</v>
      </c>
      <c r="F13" s="182" t="s">
        <v>702</v>
      </c>
      <c r="G13" s="182" t="s">
        <v>13217</v>
      </c>
      <c r="H13" s="183" t="s">
        <v>15861</v>
      </c>
      <c r="I13" s="184" t="s">
        <v>1616</v>
      </c>
      <c r="J13" s="184" t="s">
        <v>1617</v>
      </c>
      <c r="K13" s="224"/>
      <c r="L13" s="224"/>
      <c r="M13" s="224"/>
      <c r="N13" s="224" t="s">
        <v>15856</v>
      </c>
      <c r="O13" s="224" t="s">
        <v>15856</v>
      </c>
      <c r="P13" s="185" t="s">
        <v>485</v>
      </c>
      <c r="Q13" s="225"/>
      <c r="R13" s="182" t="s">
        <v>1217</v>
      </c>
      <c r="S13" s="181" t="str">
        <f t="shared" ca="1" si="4"/>
        <v>US</v>
      </c>
      <c r="T13" s="181" t="str">
        <f ca="1">IF(B13="","",IF(ISERROR(MATCH($J13,[2]SorP!$B$1:$B$6279,0)),"",INDIRECT("'SorP'!$A$"&amp;MATCH($S13&amp;$J13,[2]SorP!C:C,0))))</f>
        <v>US-MA</v>
      </c>
      <c r="U13" s="201"/>
      <c r="V13" s="226">
        <f>IF(C13="",NA(),IF(OR(C13="Smelter not listed",C13="Smelter not yet identified"),MATCH($B13&amp;$D13,'[2]Smelter Look-up'!$J:$J,0),MATCH($B13&amp;$C13,'[2]Smelter Look-up'!$J:$J,0)))</f>
        <v>176</v>
      </c>
      <c r="X13" s="227">
        <f t="shared" si="1"/>
        <v>0</v>
      </c>
      <c r="AB13" s="228" t="str">
        <f t="shared" si="2"/>
        <v>GoldMetalor USA Refining Corporation</v>
      </c>
    </row>
    <row r="14" spans="1:34" s="227" customFormat="1" ht="22.15" customHeight="1">
      <c r="A14" s="262" t="s">
        <v>650</v>
      </c>
      <c r="B14" s="182" t="s">
        <v>1119</v>
      </c>
      <c r="C14" s="186" t="s">
        <v>2267</v>
      </c>
      <c r="D14" s="230"/>
      <c r="E14" s="182" t="s">
        <v>1088</v>
      </c>
      <c r="F14" s="182" t="s">
        <v>650</v>
      </c>
      <c r="G14" s="182" t="s">
        <v>13217</v>
      </c>
      <c r="H14" s="183">
        <v>0</v>
      </c>
      <c r="I14" s="184" t="s">
        <v>1541</v>
      </c>
      <c r="J14" s="184" t="s">
        <v>1542</v>
      </c>
      <c r="K14" s="224"/>
      <c r="L14" s="224"/>
      <c r="M14" s="224"/>
      <c r="N14" s="224"/>
      <c r="O14" s="224"/>
      <c r="P14" s="185"/>
      <c r="Q14" s="225"/>
      <c r="R14" s="182" t="s">
        <v>2267</v>
      </c>
      <c r="S14" s="181" t="str">
        <f t="shared" ref="S14" ca="1" si="5">IF(B14="","",IF(ISERROR(MATCH($E14,CL,0)),"Unknown",INDIRECT("'C'!$A$"&amp;MATCH($E14,CL,0)+1)))</f>
        <v>CH</v>
      </c>
      <c r="T14" s="181" t="str">
        <f ca="1">IF(B14="","",IF(ISERROR(MATCH($J14,[3]SorP!$B$1:$B$6279,0)),"",INDIRECT("'SorP'!$A$"&amp;MATCH($S14&amp;$J14,[3]SorP!C:C,0))))</f>
        <v>CH-TI</v>
      </c>
      <c r="U14" s="201"/>
      <c r="V14" s="226">
        <f>IF(C14="",NA(),IF(OR(C14="Smelter not listed",C14="Smelter not yet identified"),MATCH($B14&amp;$D14,'[3]Smelter Look-up'!$J:$J,0),MATCH($B14&amp;$C14,'[3]Smelter Look-up'!$J:$J,0)))</f>
        <v>28</v>
      </c>
      <c r="X14" s="227">
        <f t="shared" si="1"/>
        <v>0</v>
      </c>
      <c r="AB14" s="228" t="str">
        <f t="shared" si="2"/>
        <v>GoldArgor-Heraeus S.A.</v>
      </c>
    </row>
    <row r="15" spans="1:34" s="227" customFormat="1" ht="22.15" customHeight="1">
      <c r="A15" s="262" t="s">
        <v>647</v>
      </c>
      <c r="B15" s="182" t="s">
        <v>1119</v>
      </c>
      <c r="C15" s="186" t="s">
        <v>15406</v>
      </c>
      <c r="D15" s="230"/>
      <c r="E15" s="182" t="s">
        <v>1091</v>
      </c>
      <c r="F15" s="182" t="s">
        <v>647</v>
      </c>
      <c r="G15" s="182" t="s">
        <v>13217</v>
      </c>
      <c r="H15" s="183">
        <v>0</v>
      </c>
      <c r="I15" s="184" t="s">
        <v>1535</v>
      </c>
      <c r="J15" s="184" t="s">
        <v>1536</v>
      </c>
      <c r="K15" s="224"/>
      <c r="L15" s="224"/>
      <c r="M15" s="224"/>
      <c r="N15" s="224"/>
      <c r="O15" s="224"/>
      <c r="P15" s="185"/>
      <c r="Q15" s="225"/>
      <c r="R15" s="182" t="s">
        <v>15406</v>
      </c>
      <c r="S15" s="181" t="str">
        <f t="shared" ref="S15:S39" ca="1" si="6">IF(B15="","",IF(ISERROR(MATCH($E15,CL,0)),"Unknown",INDIRECT("'C'!$A$"&amp;MATCH($E15,CL,0)+1)))</f>
        <v>DE</v>
      </c>
      <c r="T15" s="181" t="str">
        <f ca="1">IF(B15="","",IF(ISERROR(MATCH($J15,[3]SorP!$B$1:$B$6279,0)),"",INDIRECT("'SorP'!$A$"&amp;MATCH($S15&amp;$J15,[3]SorP!C:C,0))))</f>
        <v>DE-BW</v>
      </c>
      <c r="U15" s="201"/>
      <c r="V15" s="226">
        <f>IF(C15="",NA(),IF(OR(C15="Smelter not listed",C15="Smelter not yet identified"),MATCH($B15&amp;$D15,'[3]Smelter Look-up'!$J:$J,0),MATCH($B15&amp;$C15,'[3]Smelter Look-up'!$J:$J,0)))</f>
        <v>10</v>
      </c>
      <c r="X15" s="227">
        <f t="shared" si="1"/>
        <v>0</v>
      </c>
      <c r="AB15" s="228" t="str">
        <f t="shared" si="2"/>
        <v>GoldAgosi AG</v>
      </c>
    </row>
    <row r="16" spans="1:34" s="227" customFormat="1" ht="22.15" customHeight="1">
      <c r="A16" s="262" t="s">
        <v>654</v>
      </c>
      <c r="B16" s="182" t="s">
        <v>1119</v>
      </c>
      <c r="C16" s="186" t="s">
        <v>1213</v>
      </c>
      <c r="D16" s="230"/>
      <c r="E16" s="182" t="s">
        <v>1091</v>
      </c>
      <c r="F16" s="182" t="s">
        <v>654</v>
      </c>
      <c r="G16" s="182" t="s">
        <v>13217</v>
      </c>
      <c r="H16" s="183">
        <v>0</v>
      </c>
      <c r="I16" s="184" t="s">
        <v>1549</v>
      </c>
      <c r="J16" s="184" t="s">
        <v>1549</v>
      </c>
      <c r="K16" s="224"/>
      <c r="L16" s="224"/>
      <c r="M16" s="224"/>
      <c r="N16" s="224"/>
      <c r="O16" s="224"/>
      <c r="P16" s="185"/>
      <c r="Q16" s="225"/>
      <c r="R16" s="182" t="s">
        <v>1213</v>
      </c>
      <c r="S16" s="181" t="str">
        <f t="shared" ca="1" si="6"/>
        <v>DE</v>
      </c>
      <c r="T16" s="181" t="str">
        <f ca="1">IF(B16="","",IF(ISERROR(MATCH($J16,[3]SorP!$B$1:$B$6279,0)),"",INDIRECT("'SorP'!$A$"&amp;MATCH($S16&amp;$J16,[3]SorP!C:C,0))))</f>
        <v>DE-HH</v>
      </c>
      <c r="U16" s="201"/>
      <c r="V16" s="226">
        <f>IF(C16="",NA(),IF(OR(C16="Smelter not listed",C16="Smelter not yet identified"),MATCH($B16&amp;$D16,'[3]Smelter Look-up'!$J:$J,0),MATCH($B16&amp;$C16,'[3]Smelter Look-up'!$J:$J,0)))</f>
        <v>37</v>
      </c>
      <c r="X16" s="227">
        <f t="shared" si="1"/>
        <v>0</v>
      </c>
      <c r="AB16" s="228" t="str">
        <f t="shared" si="2"/>
        <v>GoldAurubis AG</v>
      </c>
    </row>
    <row r="17" spans="1:28" s="227" customFormat="1" ht="22.15" customHeight="1">
      <c r="A17" s="262" t="s">
        <v>662</v>
      </c>
      <c r="B17" s="182" t="s">
        <v>1119</v>
      </c>
      <c r="C17" s="186" t="s">
        <v>51</v>
      </c>
      <c r="D17" s="230"/>
      <c r="E17" s="182" t="s">
        <v>1097</v>
      </c>
      <c r="F17" s="182" t="s">
        <v>662</v>
      </c>
      <c r="G17" s="182" t="s">
        <v>13217</v>
      </c>
      <c r="H17" s="183">
        <v>0</v>
      </c>
      <c r="I17" s="184" t="s">
        <v>1562</v>
      </c>
      <c r="J17" s="184" t="s">
        <v>6448</v>
      </c>
      <c r="K17" s="224"/>
      <c r="L17" s="224"/>
      <c r="M17" s="224"/>
      <c r="N17" s="224"/>
      <c r="O17" s="224"/>
      <c r="P17" s="185"/>
      <c r="Q17" s="225"/>
      <c r="R17" s="182" t="s">
        <v>51</v>
      </c>
      <c r="S17" s="181" t="str">
        <f t="shared" ca="1" si="6"/>
        <v>IT</v>
      </c>
      <c r="T17" s="181" t="str">
        <f ca="1">IF(B17="","",IF(ISERROR(MATCH($J17,[3]SorP!$B$1:$B$6279,0)),"",INDIRECT("'SorP'!$A$"&amp;MATCH($S17&amp;$J17,[3]SorP!C:C,0))))</f>
        <v>IT-52</v>
      </c>
      <c r="U17" s="201"/>
      <c r="V17" s="226">
        <f>IF(C17="",NA(),IF(OR(C17="Smelter not listed",C17="Smelter not yet identified"),MATCH($B17&amp;$D17,'[3]Smelter Look-up'!$J:$J,0),MATCH($B17&amp;$C17,'[3]Smelter Look-up'!$J:$J,0)))</f>
        <v>55</v>
      </c>
      <c r="X17" s="227">
        <f t="shared" si="1"/>
        <v>0</v>
      </c>
      <c r="AB17" s="228" t="str">
        <f t="shared" si="2"/>
        <v>GoldChimet S.p.A.</v>
      </c>
    </row>
    <row r="18" spans="1:28" s="227" customFormat="1" ht="22.15" customHeight="1">
      <c r="A18" s="262" t="s">
        <v>658</v>
      </c>
      <c r="B18" s="182" t="s">
        <v>1119</v>
      </c>
      <c r="C18" s="186" t="s">
        <v>657</v>
      </c>
      <c r="D18" s="230"/>
      <c r="E18" s="182" t="s">
        <v>1091</v>
      </c>
      <c r="F18" s="182" t="s">
        <v>658</v>
      </c>
      <c r="G18" s="182" t="s">
        <v>13217</v>
      </c>
      <c r="H18" s="183">
        <v>0</v>
      </c>
      <c r="I18" s="184" t="s">
        <v>1535</v>
      </c>
      <c r="J18" s="184" t="s">
        <v>1536</v>
      </c>
      <c r="K18" s="224"/>
      <c r="L18" s="224"/>
      <c r="M18" s="224"/>
      <c r="N18" s="224"/>
      <c r="O18" s="224"/>
      <c r="P18" s="185"/>
      <c r="Q18" s="225"/>
      <c r="R18" s="182" t="s">
        <v>657</v>
      </c>
      <c r="S18" s="181" t="str">
        <f t="shared" ca="1" si="6"/>
        <v>DE</v>
      </c>
      <c r="T18" s="181" t="str">
        <f ca="1">IF(B18="","",IF(ISERROR(MATCH($J18,[3]SorP!$B$1:$B$6279,0)),"",INDIRECT("'SorP'!$A$"&amp;MATCH($S18&amp;$J18,[3]SorP!C:C,0))))</f>
        <v>DE-BW</v>
      </c>
      <c r="U18" s="201"/>
      <c r="V18" s="226">
        <f>IF(C18="",NA(),IF(OR(C18="Smelter not listed",C18="Smelter not yet identified"),MATCH($B18&amp;$D18,'[3]Smelter Look-up'!$J:$J,0),MATCH($B18&amp;$C18,'[3]Smelter Look-up'!$J:$J,0)))</f>
        <v>43</v>
      </c>
      <c r="X18" s="227">
        <f t="shared" si="1"/>
        <v>0</v>
      </c>
      <c r="AB18" s="228" t="str">
        <f t="shared" si="2"/>
        <v>GoldC. Hafner GmbH + Co. KG</v>
      </c>
    </row>
    <row r="19" spans="1:28" s="227" customFormat="1" ht="22.15" customHeight="1">
      <c r="A19" s="262" t="s">
        <v>674</v>
      </c>
      <c r="B19" s="182" t="s">
        <v>1119</v>
      </c>
      <c r="C19" s="186" t="s">
        <v>15030</v>
      </c>
      <c r="D19" s="230"/>
      <c r="E19" s="182" t="s">
        <v>1091</v>
      </c>
      <c r="F19" s="182" t="s">
        <v>674</v>
      </c>
      <c r="G19" s="182" t="s">
        <v>13217</v>
      </c>
      <c r="H19" s="183">
        <v>0</v>
      </c>
      <c r="I19" s="184" t="s">
        <v>1582</v>
      </c>
      <c r="J19" s="184" t="s">
        <v>4226</v>
      </c>
      <c r="K19" s="224"/>
      <c r="L19" s="224"/>
      <c r="M19" s="224"/>
      <c r="N19" s="224"/>
      <c r="O19" s="224"/>
      <c r="P19" s="185"/>
      <c r="Q19" s="225"/>
      <c r="R19" s="182" t="s">
        <v>15030</v>
      </c>
      <c r="S19" s="181" t="str">
        <f t="shared" ca="1" si="6"/>
        <v>DE</v>
      </c>
      <c r="T19" s="181" t="str">
        <f ca="1">IF(B19="","",IF(ISERROR(MATCH($J19,[3]SorP!$B$1:$B$6279,0)),"",INDIRECT("'SorP'!$A$"&amp;MATCH($S19&amp;$J19,[3]SorP!C:C,0))))</f>
        <v>DE-HE</v>
      </c>
      <c r="U19" s="201"/>
      <c r="V19" s="226">
        <f>IF(C19="",NA(),IF(OR(C19="Smelter not listed",C19="Smelter not yet identified"),MATCH($B19&amp;$D19,'[3]Smelter Look-up'!$J:$J,0),MATCH($B19&amp;$C19,'[3]Smelter Look-up'!$J:$J,0)))</f>
        <v>105</v>
      </c>
      <c r="X19" s="227">
        <f t="shared" si="1"/>
        <v>0</v>
      </c>
      <c r="AB19" s="228" t="str">
        <f t="shared" si="2"/>
        <v>GoldHeraeus Germany GmbH Co. KG</v>
      </c>
    </row>
    <row r="20" spans="1:28" s="227" customFormat="1" ht="22.15" customHeight="1">
      <c r="A20" s="262" t="s">
        <v>721</v>
      </c>
      <c r="B20" s="182" t="s">
        <v>1119</v>
      </c>
      <c r="C20" s="186" t="s">
        <v>12411</v>
      </c>
      <c r="D20" s="230"/>
      <c r="E20" s="182" t="s">
        <v>1092</v>
      </c>
      <c r="F20" s="182" t="s">
        <v>721</v>
      </c>
      <c r="G20" s="182" t="s">
        <v>13217</v>
      </c>
      <c r="H20" s="183">
        <v>0</v>
      </c>
      <c r="I20" s="184" t="s">
        <v>1643</v>
      </c>
      <c r="J20" s="184" t="s">
        <v>4652</v>
      </c>
      <c r="K20" s="224"/>
      <c r="L20" s="224"/>
      <c r="M20" s="224"/>
      <c r="N20" s="224"/>
      <c r="O20" s="224"/>
      <c r="P20" s="185"/>
      <c r="Q20" s="225"/>
      <c r="R20" s="182" t="s">
        <v>12411</v>
      </c>
      <c r="S20" s="181" t="str">
        <f t="shared" ca="1" si="6"/>
        <v>ES</v>
      </c>
      <c r="T20" s="181" t="str">
        <f ca="1">IF(B20="","",IF(ISERROR(MATCH($J20,[3]SorP!$B$1:$B$6279,0)),"",INDIRECT("'SorP'!$A$"&amp;MATCH($S20&amp;$J20,[3]SorP!C:C,0))))</f>
        <v>ES-MD</v>
      </c>
      <c r="U20" s="201"/>
      <c r="V20" s="226">
        <f>IF(C20="",NA(),IF(OR(C20="Smelter not listed",C20="Smelter not yet identified"),MATCH($B20&amp;$D20,'[3]Smelter Look-up'!$J:$J,0),MATCH($B20&amp;$C20,'[3]Smelter Look-up'!$J:$J,0)))</f>
        <v>234</v>
      </c>
      <c r="X20" s="227">
        <f t="shared" si="1"/>
        <v>0</v>
      </c>
      <c r="AB20" s="228" t="str">
        <f t="shared" si="2"/>
        <v>GoldSEMPSA Joyeria Plateria S.A.</v>
      </c>
    </row>
    <row r="21" spans="1:28" s="227" customFormat="1" ht="22.15" customHeight="1">
      <c r="A21" s="262" t="s">
        <v>732</v>
      </c>
      <c r="B21" s="182" t="s">
        <v>1119</v>
      </c>
      <c r="C21" s="186" t="s">
        <v>2314</v>
      </c>
      <c r="D21" s="230"/>
      <c r="E21" s="182" t="s">
        <v>1085</v>
      </c>
      <c r="F21" s="182" t="s">
        <v>732</v>
      </c>
      <c r="G21" s="182" t="s">
        <v>13217</v>
      </c>
      <c r="H21" s="183">
        <v>0</v>
      </c>
      <c r="I21" s="184" t="s">
        <v>1667</v>
      </c>
      <c r="J21" s="184" t="s">
        <v>3135</v>
      </c>
      <c r="K21" s="224"/>
      <c r="L21" s="224"/>
      <c r="M21" s="224"/>
      <c r="N21" s="224"/>
      <c r="O21" s="224"/>
      <c r="P21" s="185"/>
      <c r="Q21" s="225"/>
      <c r="R21" s="182" t="s">
        <v>2314</v>
      </c>
      <c r="S21" s="181" t="str">
        <f t="shared" ca="1" si="6"/>
        <v>BE</v>
      </c>
      <c r="T21" s="181" t="str">
        <f ca="1">IF(B21="","",IF(ISERROR(MATCH($J21,[3]SorP!$B$1:$B$6279,0)),"",INDIRECT("'SorP'!$A$"&amp;MATCH($S21&amp;$J21,[3]SorP!C:C,0))))</f>
        <v>BE-VAN</v>
      </c>
      <c r="U21" s="201"/>
      <c r="V21" s="226">
        <f>IF(C21="",NA(),IF(OR(C21="Smelter not listed",C21="Smelter not yet identified"),MATCH($B21&amp;$D21,'[3]Smelter Look-up'!$J:$J,0),MATCH($B21&amp;$C21,'[3]Smelter Look-up'!$J:$J,0)))</f>
        <v>293</v>
      </c>
      <c r="X21" s="227">
        <f t="shared" si="1"/>
        <v>0</v>
      </c>
      <c r="AB21" s="228" t="str">
        <f t="shared" si="2"/>
        <v>GoldUmicore S.A. Business Unit Precious Metals Refining</v>
      </c>
    </row>
    <row r="22" spans="1:28" s="227" customFormat="1" ht="22.15" customHeight="1">
      <c r="A22" s="262" t="s">
        <v>672</v>
      </c>
      <c r="B22" s="182" t="s">
        <v>1119</v>
      </c>
      <c r="C22" s="186" t="s">
        <v>1029</v>
      </c>
      <c r="D22" s="230"/>
      <c r="E22" s="182" t="s">
        <v>1091</v>
      </c>
      <c r="F22" s="182" t="s">
        <v>672</v>
      </c>
      <c r="G22" s="182" t="s">
        <v>13217</v>
      </c>
      <c r="H22" s="183">
        <v>0</v>
      </c>
      <c r="I22" s="184" t="s">
        <v>1535</v>
      </c>
      <c r="J22" s="184" t="s">
        <v>1536</v>
      </c>
      <c r="K22" s="224"/>
      <c r="L22" s="224"/>
      <c r="M22" s="224"/>
      <c r="N22" s="224"/>
      <c r="O22" s="224"/>
      <c r="P22" s="185"/>
      <c r="Q22" s="225"/>
      <c r="R22" s="182" t="s">
        <v>1029</v>
      </c>
      <c r="S22" s="181" t="str">
        <f t="shared" ca="1" si="6"/>
        <v>DE</v>
      </c>
      <c r="T22" s="181" t="str">
        <f ca="1">IF(B22="","",IF(ISERROR(MATCH($J22,[3]SorP!$B$1:$B$6279,0)),"",INDIRECT("'SorP'!$A$"&amp;MATCH($S22&amp;$J22,[3]SorP!C:C,0))))</f>
        <v>DE-BW</v>
      </c>
      <c r="U22" s="201"/>
      <c r="V22" s="226">
        <f>IF(C22="",NA(),IF(OR(C22="Smelter not listed",C22="Smelter not yet identified"),MATCH($B22&amp;$D22,'[3]Smelter Look-up'!$J:$J,0),MATCH($B22&amp;$C22,'[3]Smelter Look-up'!$J:$J,0)))</f>
        <v>101</v>
      </c>
      <c r="X22" s="227">
        <f t="shared" si="1"/>
        <v>0</v>
      </c>
      <c r="AB22" s="228" t="str">
        <f t="shared" si="2"/>
        <v>GoldHeimerle + Meule GmbH</v>
      </c>
    </row>
    <row r="23" spans="1:28" s="227" customFormat="1" ht="22.15" customHeight="1">
      <c r="A23" s="262" t="s">
        <v>1801</v>
      </c>
      <c r="B23" s="182" t="s">
        <v>1120</v>
      </c>
      <c r="C23" s="186" t="s">
        <v>15496</v>
      </c>
      <c r="D23" s="230"/>
      <c r="E23" s="182" t="s">
        <v>1085</v>
      </c>
      <c r="F23" s="182" t="s">
        <v>1801</v>
      </c>
      <c r="G23" s="182" t="s">
        <v>13217</v>
      </c>
      <c r="H23" s="183">
        <v>0</v>
      </c>
      <c r="I23" s="184" t="s">
        <v>1802</v>
      </c>
      <c r="J23" s="184" t="s">
        <v>3135</v>
      </c>
      <c r="K23" s="224"/>
      <c r="L23" s="224"/>
      <c r="M23" s="224"/>
      <c r="N23" s="224"/>
      <c r="O23" s="224"/>
      <c r="P23" s="185"/>
      <c r="Q23" s="225"/>
      <c r="R23" s="182" t="s">
        <v>15496</v>
      </c>
      <c r="S23" s="181" t="str">
        <f t="shared" ca="1" si="6"/>
        <v>BE</v>
      </c>
      <c r="T23" s="181" t="str">
        <f ca="1">IF(B23="","",IF(ISERROR(MATCH($J23,[3]SorP!$B$1:$B$6279,0)),"",INDIRECT("'SorP'!$A$"&amp;MATCH($S23&amp;$J23,[3]SorP!C:C,0))))</f>
        <v>BE-VAN</v>
      </c>
      <c r="U23" s="201"/>
      <c r="V23" s="226">
        <f>IF(C23="",NA(),IF(OR(C23="Smelter not listed",C23="Smelter not yet identified"),MATCH($B23&amp;$D23,'[3]Smelter Look-up'!$J:$J,0),MATCH($B23&amp;$C23,'[3]Smelter Look-up'!$J:$J,0)))</f>
        <v>394</v>
      </c>
      <c r="X23" s="227">
        <f t="shared" si="1"/>
        <v>0</v>
      </c>
      <c r="AB23" s="228" t="str">
        <f t="shared" si="2"/>
        <v>TinAurubis Beerse</v>
      </c>
    </row>
    <row r="24" spans="1:28" s="227" customFormat="1" ht="22.15" customHeight="1">
      <c r="A24" s="262" t="s">
        <v>15060</v>
      </c>
      <c r="B24" s="182" t="s">
        <v>1120</v>
      </c>
      <c r="C24" s="186" t="s">
        <v>15059</v>
      </c>
      <c r="D24" s="230"/>
      <c r="E24" s="182" t="s">
        <v>1092</v>
      </c>
      <c r="F24" s="182" t="s">
        <v>15060</v>
      </c>
      <c r="G24" s="182" t="s">
        <v>13217</v>
      </c>
      <c r="H24" s="183">
        <v>0</v>
      </c>
      <c r="I24" s="184" t="s">
        <v>3633</v>
      </c>
      <c r="J24" s="184" t="s">
        <v>3633</v>
      </c>
      <c r="K24" s="224"/>
      <c r="L24" s="224"/>
      <c r="M24" s="224"/>
      <c r="N24" s="224"/>
      <c r="O24" s="224"/>
      <c r="P24" s="185"/>
      <c r="Q24" s="225"/>
      <c r="R24" s="182" t="s">
        <v>15059</v>
      </c>
      <c r="S24" s="181" t="str">
        <f t="shared" ca="1" si="6"/>
        <v>ES</v>
      </c>
      <c r="T24" s="181" t="str">
        <f ca="1">IF(B24="","",IF(ISERROR(MATCH($J24,[3]SorP!$B$1:$B$6279,0)),"",INDIRECT("'SorP'!$A$"&amp;MATCH($S24&amp;$J24,[3]SorP!C:C,0))))</f>
        <v>ES-TO</v>
      </c>
      <c r="U24" s="201"/>
      <c r="V24" s="226">
        <f>IF(C24="",NA(),IF(OR(C24="Smelter not listed",C24="Smelter not yet identified"),MATCH($B24&amp;$D24,'[3]Smelter Look-up'!$J:$J,0),MATCH($B24&amp;$C24,'[3]Smelter Look-up'!$J:$J,0)))</f>
        <v>411</v>
      </c>
      <c r="X24" s="227">
        <f t="shared" si="1"/>
        <v>0</v>
      </c>
      <c r="AB24" s="228" t="str">
        <f t="shared" si="2"/>
        <v>TinCRM Synergies</v>
      </c>
    </row>
    <row r="25" spans="1:28" s="227" customFormat="1" ht="22.15" customHeight="1">
      <c r="A25" s="262" t="s">
        <v>14001</v>
      </c>
      <c r="B25" s="182" t="s">
        <v>1120</v>
      </c>
      <c r="C25" s="186" t="s">
        <v>12914</v>
      </c>
      <c r="D25" s="230"/>
      <c r="E25" s="182" t="s">
        <v>1095</v>
      </c>
      <c r="F25" s="182" t="s">
        <v>14001</v>
      </c>
      <c r="G25" s="182" t="s">
        <v>13217</v>
      </c>
      <c r="H25" s="183">
        <v>0</v>
      </c>
      <c r="I25" s="184" t="s">
        <v>15113</v>
      </c>
      <c r="J25" s="184" t="s">
        <v>12830</v>
      </c>
      <c r="K25" s="224"/>
      <c r="L25" s="224"/>
      <c r="M25" s="224"/>
      <c r="N25" s="224"/>
      <c r="O25" s="224"/>
      <c r="P25" s="185"/>
      <c r="Q25" s="225"/>
      <c r="R25" s="182" t="s">
        <v>12914</v>
      </c>
      <c r="S25" s="181" t="str">
        <f t="shared" ca="1" si="6"/>
        <v>ID</v>
      </c>
      <c r="T25" s="181" t="str">
        <f ca="1">IF(B25="","",IF(ISERROR(MATCH($J25,[3]SorP!$B$1:$B$6279,0)),"",INDIRECT("'SorP'!$A$"&amp;MATCH($S25&amp;$J25,[3]SorP!C:C,0))))</f>
        <v>ID-BB</v>
      </c>
      <c r="U25" s="201"/>
      <c r="V25" s="226">
        <f>IF(C25="",NA(),IF(OR(C25="Smelter not listed",C25="Smelter not yet identified"),MATCH($B25&amp;$D25,'[3]Smelter Look-up'!$J:$J,0),MATCH($B25&amp;$C25,'[3]Smelter Look-up'!$J:$J,0)))</f>
        <v>492</v>
      </c>
      <c r="X25" s="227">
        <f t="shared" si="1"/>
        <v>0</v>
      </c>
      <c r="AB25" s="228" t="str">
        <f t="shared" si="2"/>
        <v>TinPT Bangka Serumpun</v>
      </c>
    </row>
    <row r="26" spans="1:28" s="227" customFormat="1" ht="22.15" customHeight="1">
      <c r="A26" s="262" t="s">
        <v>775</v>
      </c>
      <c r="B26" s="182" t="s">
        <v>1120</v>
      </c>
      <c r="C26" s="186" t="s">
        <v>2141</v>
      </c>
      <c r="D26" s="230"/>
      <c r="E26" s="182" t="s">
        <v>1095</v>
      </c>
      <c r="F26" s="182" t="s">
        <v>775</v>
      </c>
      <c r="G26" s="182" t="s">
        <v>13217</v>
      </c>
      <c r="H26" s="183">
        <v>0</v>
      </c>
      <c r="I26" s="184" t="s">
        <v>1753</v>
      </c>
      <c r="J26" s="184" t="s">
        <v>12830</v>
      </c>
      <c r="K26" s="224"/>
      <c r="L26" s="224"/>
      <c r="M26" s="224"/>
      <c r="N26" s="224"/>
      <c r="O26" s="224"/>
      <c r="P26" s="185"/>
      <c r="Q26" s="225"/>
      <c r="R26" s="182" t="s">
        <v>2141</v>
      </c>
      <c r="S26" s="181" t="str">
        <f t="shared" ca="1" si="6"/>
        <v>ID</v>
      </c>
      <c r="T26" s="181" t="str">
        <f ca="1">IF(B26="","",IF(ISERROR(MATCH($J26,[3]SorP!$B$1:$B$6279,0)),"",INDIRECT("'SorP'!$A$"&amp;MATCH($S26&amp;$J26,[3]SorP!C:C,0))))</f>
        <v>ID-BB</v>
      </c>
      <c r="U26" s="201"/>
      <c r="V26" s="226">
        <f>IF(C26="",NA(),IF(OR(C26="Smelter not listed",C26="Smelter not yet identified"),MATCH($B26&amp;$D26,'[3]Smelter Look-up'!$J:$J,0),MATCH($B26&amp;$C26,'[3]Smelter Look-up'!$J:$J,0)))</f>
        <v>507</v>
      </c>
      <c r="X26" s="227">
        <f t="shared" si="1"/>
        <v>0</v>
      </c>
      <c r="AB26" s="228" t="str">
        <f t="shared" si="2"/>
        <v>TinPT Refined Bangka Tin</v>
      </c>
    </row>
    <row r="27" spans="1:28" s="227" customFormat="1" ht="22.15" customHeight="1">
      <c r="A27" s="181" t="s">
        <v>794</v>
      </c>
      <c r="B27" s="182" t="s">
        <v>1120</v>
      </c>
      <c r="C27" s="186" t="s">
        <v>13779</v>
      </c>
      <c r="D27" s="230"/>
      <c r="E27" s="182" t="s">
        <v>1095</v>
      </c>
      <c r="F27" s="182" t="s">
        <v>794</v>
      </c>
      <c r="G27" s="182" t="s">
        <v>13217</v>
      </c>
      <c r="H27" s="183">
        <v>0</v>
      </c>
      <c r="I27" s="184" t="s">
        <v>1778</v>
      </c>
      <c r="J27" s="184" t="s">
        <v>6047</v>
      </c>
      <c r="K27" s="224"/>
      <c r="L27" s="224"/>
      <c r="M27" s="224"/>
      <c r="N27" s="224"/>
      <c r="O27" s="224"/>
      <c r="P27" s="185"/>
      <c r="Q27" s="225"/>
      <c r="R27" s="182" t="s">
        <v>13779</v>
      </c>
      <c r="S27" s="181" t="str">
        <f t="shared" ca="1" si="6"/>
        <v>ID</v>
      </c>
      <c r="T27" s="181" t="str">
        <f ca="1">IF(B27="","",IF(ISERROR(MATCH($J27,[3]SorP!$B$1:$B$6279,0)),"",INDIRECT("'SorP'!$A$"&amp;MATCH($S27&amp;$J27,[3]SorP!C:C,0))))</f>
        <v>ID-RI</v>
      </c>
      <c r="U27" s="201"/>
      <c r="V27" s="226">
        <f>IF(C27="",NA(),IF(OR(C27="Smelter not listed",C27="Smelter not yet identified"),MATCH($B27&amp;$D27,'[3]Smelter Look-up'!$J:$J,0),MATCH($B27&amp;$C27,'[3]Smelter Look-up'!$J:$J,0)))</f>
        <v>513</v>
      </c>
      <c r="X27" s="227">
        <f t="shared" si="1"/>
        <v>0</v>
      </c>
      <c r="AB27" s="228" t="str">
        <f t="shared" si="2"/>
        <v>TinPT Timah Tbk Kundur</v>
      </c>
    </row>
    <row r="28" spans="1:28" s="227" customFormat="1" ht="22.15" customHeight="1">
      <c r="A28" s="181" t="s">
        <v>776</v>
      </c>
      <c r="B28" s="182" t="s">
        <v>1120</v>
      </c>
      <c r="C28" s="186" t="s">
        <v>13778</v>
      </c>
      <c r="D28" s="230"/>
      <c r="E28" s="182" t="s">
        <v>1095</v>
      </c>
      <c r="F28" s="182" t="s">
        <v>776</v>
      </c>
      <c r="G28" s="182" t="s">
        <v>13217</v>
      </c>
      <c r="H28" s="183">
        <v>0</v>
      </c>
      <c r="I28" s="184" t="s">
        <v>1780</v>
      </c>
      <c r="J28" s="184" t="s">
        <v>12830</v>
      </c>
      <c r="K28" s="224"/>
      <c r="L28" s="224"/>
      <c r="M28" s="224"/>
      <c r="N28" s="224"/>
      <c r="O28" s="224"/>
      <c r="P28" s="185"/>
      <c r="Q28" s="225"/>
      <c r="R28" s="182" t="s">
        <v>13778</v>
      </c>
      <c r="S28" s="181" t="str">
        <f t="shared" ca="1" si="6"/>
        <v>ID</v>
      </c>
      <c r="T28" s="181" t="str">
        <f ca="1">IF(B28="","",IF(ISERROR(MATCH($J28,[3]SorP!$B$1:$B$6279,0)),"",INDIRECT("'SorP'!$A$"&amp;MATCH($S28&amp;$J28,[3]SorP!C:C,0))))</f>
        <v>ID-BB</v>
      </c>
      <c r="U28" s="201"/>
      <c r="V28" s="226">
        <f>IF(C28="",NA(),IF(OR(C28="Smelter not listed",C28="Smelter not yet identified"),MATCH($B28&amp;$D28,'[3]Smelter Look-up'!$J:$J,0),MATCH($B28&amp;$C28,'[3]Smelter Look-up'!$J:$J,0)))</f>
        <v>514</v>
      </c>
      <c r="X28" s="227">
        <f t="shared" si="1"/>
        <v>0</v>
      </c>
      <c r="AB28" s="228" t="str">
        <f t="shared" si="2"/>
        <v>TinPT Timah Tbk Mentok</v>
      </c>
    </row>
    <row r="29" spans="1:28" s="227" customFormat="1" ht="22.15" customHeight="1">
      <c r="A29" s="181" t="s">
        <v>772</v>
      </c>
      <c r="B29" s="182" t="s">
        <v>1120</v>
      </c>
      <c r="C29" s="186" t="s">
        <v>13780</v>
      </c>
      <c r="D29" s="230"/>
      <c r="E29" s="182" t="s">
        <v>2413</v>
      </c>
      <c r="F29" s="182" t="s">
        <v>772</v>
      </c>
      <c r="G29" s="182" t="s">
        <v>13217</v>
      </c>
      <c r="H29" s="183">
        <v>0</v>
      </c>
      <c r="I29" s="184" t="s">
        <v>1755</v>
      </c>
      <c r="J29" s="184" t="s">
        <v>1755</v>
      </c>
      <c r="K29" s="224"/>
      <c r="L29" s="224"/>
      <c r="M29" s="224"/>
      <c r="N29" s="224"/>
      <c r="O29" s="224"/>
      <c r="P29" s="185"/>
      <c r="Q29" s="225"/>
      <c r="R29" s="182" t="s">
        <v>13780</v>
      </c>
      <c r="S29" s="181" t="str">
        <f t="shared" ca="1" si="6"/>
        <v>BO</v>
      </c>
      <c r="T29" s="181" t="str">
        <f ca="1">IF(B29="","",IF(ISERROR(MATCH($J29,[3]SorP!$B$1:$B$6279,0)),"",INDIRECT("'SorP'!$A$"&amp;MATCH($S29&amp;$J29,[3]SorP!C:C,0))))</f>
        <v>BO-O</v>
      </c>
      <c r="U29" s="201"/>
      <c r="V29" s="226">
        <f>IF(C29="",NA(),IF(OR(C29="Smelter not listed",C29="Smelter not yet identified"),MATCH($B29&amp;$D29,'[3]Smelter Look-up'!$J:$J,0),MATCH($B29&amp;$C29,'[3]Smelter Look-up'!$J:$J,0)))</f>
        <v>482</v>
      </c>
      <c r="X29" s="227">
        <f t="shared" si="1"/>
        <v>0</v>
      </c>
      <c r="AB29" s="228" t="str">
        <f t="shared" si="2"/>
        <v>TinOperaciones Metalurgicas S.A.</v>
      </c>
    </row>
    <row r="30" spans="1:28" s="227" customFormat="1" ht="22.15" customHeight="1">
      <c r="A30" s="181" t="s">
        <v>701</v>
      </c>
      <c r="B30" s="182" t="s">
        <v>1119</v>
      </c>
      <c r="C30" s="186" t="s">
        <v>2288</v>
      </c>
      <c r="D30" s="230"/>
      <c r="E30" s="182" t="s">
        <v>1088</v>
      </c>
      <c r="F30" s="182" t="s">
        <v>701</v>
      </c>
      <c r="G30" s="182" t="s">
        <v>13217</v>
      </c>
      <c r="H30" s="183">
        <v>0</v>
      </c>
      <c r="I30" s="184" t="s">
        <v>1614</v>
      </c>
      <c r="J30" s="184" t="s">
        <v>1615</v>
      </c>
      <c r="K30" s="224"/>
      <c r="L30" s="224"/>
      <c r="M30" s="224"/>
      <c r="N30" s="224"/>
      <c r="O30" s="224"/>
      <c r="P30" s="185"/>
      <c r="Q30" s="225"/>
      <c r="R30" s="182" t="s">
        <v>2288</v>
      </c>
      <c r="S30" s="181" t="str">
        <f t="shared" ca="1" si="6"/>
        <v>CH</v>
      </c>
      <c r="T30" s="181" t="str">
        <f ca="1">IF(B30="","",IF(ISERROR(MATCH($J30,[3]SorP!$B$1:$B$6279,0)),"",INDIRECT("'SorP'!$A$"&amp;MATCH($S30&amp;$J30,[3]SorP!C:C,0))))</f>
        <v>CH-NE</v>
      </c>
      <c r="U30" s="201"/>
      <c r="V30" s="226">
        <f>IF(C30="",NA(),IF(OR(C30="Smelter not listed",C30="Smelter not yet identified"),MATCH($B30&amp;$D30,'[3]Smelter Look-up'!$J:$J,0),MATCH($B30&amp;$C30,'[3]Smelter Look-up'!$J:$J,0)))</f>
        <v>175</v>
      </c>
      <c r="X30" s="227">
        <f t="shared" si="1"/>
        <v>0</v>
      </c>
      <c r="AB30" s="228" t="str">
        <f t="shared" si="2"/>
        <v>GoldMetalor Technologies S.A.</v>
      </c>
    </row>
    <row r="31" spans="1:28" s="227" customFormat="1" ht="22.15" customHeight="1">
      <c r="A31" s="181" t="s">
        <v>766</v>
      </c>
      <c r="B31" s="182" t="s">
        <v>1120</v>
      </c>
      <c r="C31" s="186" t="s">
        <v>811</v>
      </c>
      <c r="D31" s="230"/>
      <c r="E31" s="182" t="s">
        <v>1105</v>
      </c>
      <c r="F31" s="182" t="s">
        <v>766</v>
      </c>
      <c r="G31" s="182" t="s">
        <v>13217</v>
      </c>
      <c r="H31" s="183">
        <v>0</v>
      </c>
      <c r="I31" s="184" t="s">
        <v>1766</v>
      </c>
      <c r="J31" s="184" t="s">
        <v>8666</v>
      </c>
      <c r="K31" s="224"/>
      <c r="L31" s="224"/>
      <c r="M31" s="224"/>
      <c r="N31" s="224"/>
      <c r="O31" s="224"/>
      <c r="P31" s="185"/>
      <c r="Q31" s="225"/>
      <c r="R31" s="182" t="s">
        <v>811</v>
      </c>
      <c r="S31" s="181" t="str">
        <f t="shared" ca="1" si="6"/>
        <v>MY</v>
      </c>
      <c r="T31" s="181" t="str">
        <f ca="1">IF(B31="","",IF(ISERROR(MATCH($J31,[3]SorP!$B$1:$B$6279,0)),"",INDIRECT("'SorP'!$A$"&amp;MATCH($S31&amp;$J31,[3]SorP!C:C,0))))</f>
        <v>MY-07</v>
      </c>
      <c r="U31" s="201"/>
      <c r="V31" s="226">
        <f>IF(C31="",NA(),IF(OR(C31="Smelter not listed",C31="Smelter not yet identified"),MATCH($B31&amp;$D31,'[3]Smelter Look-up'!$J:$J,0),MATCH($B31&amp;$C31,'[3]Smelter Look-up'!$J:$J,0)))</f>
        <v>458</v>
      </c>
      <c r="X31" s="227">
        <f t="shared" si="1"/>
        <v>0</v>
      </c>
      <c r="AB31" s="228" t="str">
        <f t="shared" si="2"/>
        <v>TinMalaysia Smelting Corporation (MSC)</v>
      </c>
    </row>
    <row r="32" spans="1:28" s="227" customFormat="1" ht="22.15" customHeight="1">
      <c r="A32" s="181" t="s">
        <v>768</v>
      </c>
      <c r="B32" s="182" t="s">
        <v>1120</v>
      </c>
      <c r="C32" s="186" t="s">
        <v>1024</v>
      </c>
      <c r="D32" s="230"/>
      <c r="E32" s="182" t="s">
        <v>870</v>
      </c>
      <c r="F32" s="182" t="s">
        <v>768</v>
      </c>
      <c r="G32" s="182" t="s">
        <v>13217</v>
      </c>
      <c r="H32" s="183">
        <v>0</v>
      </c>
      <c r="I32" s="184" t="s">
        <v>1771</v>
      </c>
      <c r="J32" s="184" t="s">
        <v>9093</v>
      </c>
      <c r="K32" s="224"/>
      <c r="L32" s="224"/>
      <c r="M32" s="224"/>
      <c r="N32" s="224"/>
      <c r="O32" s="224"/>
      <c r="P32" s="185"/>
      <c r="Q32" s="225"/>
      <c r="R32" s="182" t="s">
        <v>1024</v>
      </c>
      <c r="S32" s="181" t="str">
        <f t="shared" ca="1" si="6"/>
        <v>PE</v>
      </c>
      <c r="T32" s="181" t="str">
        <f ca="1">IF(B32="","",IF(ISERROR(MATCH($J32,[3]SorP!$B$1:$B$6279,0)),"",INDIRECT("'SorP'!$A$"&amp;MATCH($S32&amp;$J32,[3]SorP!C:C,0))))</f>
        <v>PE-ICA</v>
      </c>
      <c r="U32" s="201"/>
      <c r="V32" s="226">
        <f>IF(C32="",NA(),IF(OR(C32="Smelter not listed",C32="Smelter not yet identified"),MATCH($B32&amp;$D32,'[3]Smelter Look-up'!$J:$J,0),MATCH($B32&amp;$C32,'[3]Smelter Look-up'!$J:$J,0)))</f>
        <v>470</v>
      </c>
      <c r="X32" s="227">
        <f t="shared" si="1"/>
        <v>0</v>
      </c>
      <c r="AB32" s="228" t="str">
        <f t="shared" si="2"/>
        <v>TinMinsur</v>
      </c>
    </row>
    <row r="33" spans="1:28" s="227" customFormat="1" ht="22.15" customHeight="1">
      <c r="A33" s="181" t="s">
        <v>779</v>
      </c>
      <c r="B33" s="182" t="s">
        <v>1120</v>
      </c>
      <c r="C33" s="186" t="s">
        <v>1021</v>
      </c>
      <c r="D33" s="230"/>
      <c r="E33" s="182" t="s">
        <v>878</v>
      </c>
      <c r="F33" s="182" t="s">
        <v>779</v>
      </c>
      <c r="G33" s="182" t="s">
        <v>13217</v>
      </c>
      <c r="H33" s="183">
        <v>0</v>
      </c>
      <c r="I33" s="184" t="s">
        <v>1781</v>
      </c>
      <c r="J33" s="184" t="s">
        <v>1782</v>
      </c>
      <c r="K33" s="224"/>
      <c r="L33" s="224"/>
      <c r="M33" s="224"/>
      <c r="N33" s="224"/>
      <c r="O33" s="224"/>
      <c r="P33" s="185"/>
      <c r="Q33" s="225"/>
      <c r="R33" s="182" t="s">
        <v>1021</v>
      </c>
      <c r="S33" s="181" t="str">
        <f t="shared" ca="1" si="6"/>
        <v>TH</v>
      </c>
      <c r="T33" s="181" t="str">
        <f ca="1">IF(B33="","",IF(ISERROR(MATCH($J33,[3]SorP!$B$1:$B$6279,0)),"",INDIRECT("'SorP'!$A$"&amp;MATCH($S33&amp;$J33,[3]SorP!C:C,0))))</f>
        <v>TH-83</v>
      </c>
      <c r="U33" s="201"/>
      <c r="V33" s="226">
        <f>IF(C33="",NA(),IF(OR(C33="Smelter not listed",C33="Smelter not yet identified"),MATCH($B33&amp;$D33,'[3]Smelter Look-up'!$J:$J,0),MATCH($B33&amp;$C33,'[3]Smelter Look-up'!$J:$J,0)))</f>
        <v>526</v>
      </c>
      <c r="X33" s="227">
        <f t="shared" si="1"/>
        <v>0</v>
      </c>
      <c r="AB33" s="228" t="str">
        <f t="shared" si="2"/>
        <v>TinThaisarco</v>
      </c>
    </row>
    <row r="34" spans="1:28" s="227" customFormat="1" ht="22.15" customHeight="1">
      <c r="A34" s="181" t="s">
        <v>774</v>
      </c>
      <c r="B34" s="182" t="s">
        <v>1120</v>
      </c>
      <c r="C34" s="186" t="s">
        <v>623</v>
      </c>
      <c r="D34" s="230"/>
      <c r="E34" s="182" t="s">
        <v>1095</v>
      </c>
      <c r="F34" s="182" t="s">
        <v>774</v>
      </c>
      <c r="G34" s="182" t="s">
        <v>13217</v>
      </c>
      <c r="H34" s="183">
        <v>0</v>
      </c>
      <c r="I34" s="184" t="s">
        <v>1753</v>
      </c>
      <c r="J34" s="184" t="s">
        <v>12830</v>
      </c>
      <c r="K34" s="224"/>
      <c r="L34" s="224"/>
      <c r="M34" s="224"/>
      <c r="N34" s="224"/>
      <c r="O34" s="224"/>
      <c r="P34" s="185"/>
      <c r="Q34" s="225"/>
      <c r="R34" s="182" t="s">
        <v>623</v>
      </c>
      <c r="S34" s="181" t="str">
        <f t="shared" ca="1" si="6"/>
        <v>ID</v>
      </c>
      <c r="T34" s="181" t="str">
        <f ca="1">IF(B34="","",IF(ISERROR(MATCH($J34,[3]SorP!$B$1:$B$6279,0)),"",INDIRECT("'SorP'!$A$"&amp;MATCH($S34&amp;$J34,[3]SorP!C:C,0))))</f>
        <v>ID-BB</v>
      </c>
      <c r="U34" s="201"/>
      <c r="V34" s="226">
        <f>IF(C34="",NA(),IF(OR(C34="Smelter not listed",C34="Smelter not yet identified"),MATCH($B34&amp;$D34,'[3]Smelter Look-up'!$J:$J,0),MATCH($B34&amp;$C34,'[3]Smelter Look-up'!$J:$J,0)))</f>
        <v>500</v>
      </c>
      <c r="X34" s="227">
        <f t="shared" si="1"/>
        <v>0</v>
      </c>
      <c r="AB34" s="228" t="str">
        <f t="shared" si="2"/>
        <v>TinPT Mitra Stania Prima</v>
      </c>
    </row>
    <row r="35" spans="1:28" s="227" customFormat="1" ht="22.15" customHeight="1">
      <c r="A35" s="181" t="s">
        <v>758</v>
      </c>
      <c r="B35" s="182" t="s">
        <v>1120</v>
      </c>
      <c r="C35" s="186" t="s">
        <v>47</v>
      </c>
      <c r="D35" s="230"/>
      <c r="E35" s="182" t="s">
        <v>2415</v>
      </c>
      <c r="F35" s="182" t="s">
        <v>758</v>
      </c>
      <c r="G35" s="182" t="s">
        <v>13217</v>
      </c>
      <c r="H35" s="183">
        <v>0</v>
      </c>
      <c r="I35" s="184" t="s">
        <v>1746</v>
      </c>
      <c r="J35" s="184" t="s">
        <v>1725</v>
      </c>
      <c r="K35" s="224"/>
      <c r="L35" s="224"/>
      <c r="M35" s="224"/>
      <c r="N35" s="224"/>
      <c r="O35" s="224"/>
      <c r="P35" s="185"/>
      <c r="Q35" s="225"/>
      <c r="R35" s="182" t="s">
        <v>47</v>
      </c>
      <c r="S35" s="181" t="str">
        <f t="shared" ca="1" si="6"/>
        <v>US</v>
      </c>
      <c r="T35" s="181" t="str">
        <f ca="1">IF(B35="","",IF(ISERROR(MATCH($J35,[3]SorP!$B$1:$B$6279,0)),"",INDIRECT("'SorP'!$A$"&amp;MATCH($S35&amp;$J35,[3]SorP!C:C,0))))</f>
        <v>US-PA</v>
      </c>
      <c r="U35" s="201"/>
      <c r="V35" s="226">
        <f>IF(C35="",NA(),IF(OR(C35="Smelter not listed",C35="Smelter not yet identified"),MATCH($B35&amp;$D35,'[3]Smelter Look-up'!$J:$J,0),MATCH($B35&amp;$C35,'[3]Smelter Look-up'!$J:$J,0)))</f>
        <v>389</v>
      </c>
      <c r="X35" s="227">
        <f t="shared" si="1"/>
        <v>0</v>
      </c>
      <c r="AB35" s="228" t="str">
        <f t="shared" si="2"/>
        <v>TinAlpha</v>
      </c>
    </row>
    <row r="36" spans="1:28" s="227" customFormat="1" ht="22.15" customHeight="1">
      <c r="A36" s="181" t="s">
        <v>767</v>
      </c>
      <c r="B36" s="182" t="s">
        <v>1120</v>
      </c>
      <c r="C36" s="186" t="s">
        <v>12408</v>
      </c>
      <c r="D36" s="230"/>
      <c r="E36" s="182" t="s">
        <v>1086</v>
      </c>
      <c r="F36" s="182" t="s">
        <v>767</v>
      </c>
      <c r="G36" s="182" t="s">
        <v>13217</v>
      </c>
      <c r="H36" s="183">
        <v>0</v>
      </c>
      <c r="I36" s="184" t="s">
        <v>1769</v>
      </c>
      <c r="J36" s="184" t="s">
        <v>1666</v>
      </c>
      <c r="K36" s="224"/>
      <c r="L36" s="224"/>
      <c r="M36" s="224"/>
      <c r="N36" s="224"/>
      <c r="O36" s="224"/>
      <c r="P36" s="185"/>
      <c r="Q36" s="225"/>
      <c r="R36" s="182" t="s">
        <v>12408</v>
      </c>
      <c r="S36" s="181" t="str">
        <f t="shared" ca="1" si="6"/>
        <v>BR</v>
      </c>
      <c r="T36" s="181" t="str">
        <f ca="1">IF(B36="","",IF(ISERROR(MATCH($J36,[3]SorP!$B$1:$B$6279,0)),"",INDIRECT("'SorP'!$A$"&amp;MATCH($S36&amp;$J36,[3]SorP!C:C,0))))</f>
        <v>BR-SP</v>
      </c>
      <c r="U36" s="201"/>
      <c r="V36" s="226">
        <f>IF(C36="",NA(),IF(OR(C36="Smelter not listed",C36="Smelter not yet identified"),MATCH($B36&amp;$D36,'[3]Smelter Look-up'!$J:$J,0),MATCH($B36&amp;$C36,'[3]Smelter Look-up'!$J:$J,0)))</f>
        <v>465</v>
      </c>
      <c r="X36" s="227">
        <f t="shared" si="1"/>
        <v>0</v>
      </c>
      <c r="AB36" s="228" t="str">
        <f t="shared" si="2"/>
        <v>TinMineracao Taboca S.A.</v>
      </c>
    </row>
    <row r="37" spans="1:28" s="227" customFormat="1" ht="22.15" customHeight="1">
      <c r="A37" s="181" t="s">
        <v>769</v>
      </c>
      <c r="B37" s="182" t="s">
        <v>1120</v>
      </c>
      <c r="C37" s="186" t="s">
        <v>1153</v>
      </c>
      <c r="D37" s="230"/>
      <c r="E37" s="182" t="s">
        <v>1098</v>
      </c>
      <c r="F37" s="182" t="s">
        <v>769</v>
      </c>
      <c r="G37" s="182" t="s">
        <v>13217</v>
      </c>
      <c r="H37" s="183">
        <v>0</v>
      </c>
      <c r="I37" s="184" t="s">
        <v>1534</v>
      </c>
      <c r="J37" s="184" t="s">
        <v>1534</v>
      </c>
      <c r="K37" s="224"/>
      <c r="L37" s="224"/>
      <c r="M37" s="224"/>
      <c r="N37" s="224"/>
      <c r="O37" s="224"/>
      <c r="P37" s="185"/>
      <c r="Q37" s="225"/>
      <c r="R37" s="182" t="s">
        <v>1153</v>
      </c>
      <c r="S37" s="181" t="str">
        <f t="shared" ca="1" si="6"/>
        <v>JP</v>
      </c>
      <c r="T37" s="181" t="str">
        <f ca="1">IF(B37="","",IF(ISERROR(MATCH($J37,[3]SorP!$B$1:$B$6279,0)),"",INDIRECT("'SorP'!$A$"&amp;MATCH($S37&amp;$J37,[3]SorP!C:C,0))))</f>
        <v>JP-13</v>
      </c>
      <c r="U37" s="201"/>
      <c r="V37" s="226">
        <f>IF(C37="",NA(),IF(OR(C37="Smelter not listed",C37="Smelter not yet identified"),MATCH($B37&amp;$D37,'[3]Smelter Look-up'!$J:$J,0),MATCH($B37&amp;$C37,'[3]Smelter Look-up'!$J:$J,0)))</f>
        <v>471</v>
      </c>
      <c r="X37" s="227">
        <f t="shared" si="1"/>
        <v>0</v>
      </c>
      <c r="AB37" s="228" t="str">
        <f t="shared" si="2"/>
        <v>TinMitsubishi Materials Corporation</v>
      </c>
    </row>
    <row r="38" spans="1:28" s="227" customFormat="1" ht="22.15" customHeight="1">
      <c r="A38" s="181" t="s">
        <v>778</v>
      </c>
      <c r="B38" s="182" t="s">
        <v>1120</v>
      </c>
      <c r="C38" s="186" t="s">
        <v>777</v>
      </c>
      <c r="D38" s="230"/>
      <c r="E38" s="182" t="s">
        <v>2414</v>
      </c>
      <c r="F38" s="182" t="s">
        <v>778</v>
      </c>
      <c r="G38" s="182" t="s">
        <v>13217</v>
      </c>
      <c r="H38" s="183">
        <v>0</v>
      </c>
      <c r="I38" s="184" t="s">
        <v>13804</v>
      </c>
      <c r="J38" s="184" t="s">
        <v>1691</v>
      </c>
      <c r="K38" s="224"/>
      <c r="L38" s="224"/>
      <c r="M38" s="224"/>
      <c r="N38" s="224"/>
      <c r="O38" s="224"/>
      <c r="P38" s="185"/>
      <c r="Q38" s="225"/>
      <c r="R38" s="182" t="s">
        <v>777</v>
      </c>
      <c r="S38" s="181" t="str">
        <f t="shared" ca="1" si="6"/>
        <v>TW</v>
      </c>
      <c r="T38" s="181" t="str">
        <f ca="1">IF(B38="","",IF(ISERROR(MATCH($J38,[3]SorP!$B$1:$B$6279,0)),"",INDIRECT("'SorP'!$A$"&amp;MATCH($S38&amp;$J38,[3]SorP!C:C,0))))</f>
        <v>TW-TAO</v>
      </c>
      <c r="U38" s="201"/>
      <c r="V38" s="226">
        <f>IF(C38="",NA(),IF(OR(C38="Smelter not listed",C38="Smelter not yet identified"),MATCH($B38&amp;$D38,'[3]Smelter Look-up'!$J:$J,0),MATCH($B38&amp;$C38,'[3]Smelter Look-up'!$J:$J,0)))</f>
        <v>521</v>
      </c>
      <c r="X38" s="227">
        <f t="shared" si="1"/>
        <v>0</v>
      </c>
      <c r="AB38" s="228" t="str">
        <f t="shared" si="2"/>
        <v>TinRui Da Hung</v>
      </c>
    </row>
    <row r="39" spans="1:28" s="227" customFormat="1" ht="22.15" customHeight="1">
      <c r="A39" s="181" t="s">
        <v>1414</v>
      </c>
      <c r="B39" s="182" t="s">
        <v>1122</v>
      </c>
      <c r="C39" s="186" t="s">
        <v>2518</v>
      </c>
      <c r="D39" s="230"/>
      <c r="E39" s="182" t="s">
        <v>1091</v>
      </c>
      <c r="F39" s="182" t="s">
        <v>1414</v>
      </c>
      <c r="G39" s="182" t="s">
        <v>13217</v>
      </c>
      <c r="H39" s="183">
        <v>0</v>
      </c>
      <c r="I39" s="184" t="s">
        <v>1736</v>
      </c>
      <c r="J39" s="184" t="s">
        <v>4228</v>
      </c>
      <c r="K39" s="224"/>
      <c r="L39" s="224"/>
      <c r="M39" s="224"/>
      <c r="N39" s="224"/>
      <c r="O39" s="224"/>
      <c r="P39" s="185"/>
      <c r="Q39" s="225"/>
      <c r="R39" s="182" t="s">
        <v>2518</v>
      </c>
      <c r="S39" s="181" t="str">
        <f t="shared" ca="1" si="6"/>
        <v>DE</v>
      </c>
      <c r="T39" s="181" t="str">
        <f ca="1">IF(B39="","",IF(ISERROR(MATCH($J39,[3]SorP!$B$1:$B$6279,0)),"",INDIRECT("'SorP'!$A$"&amp;MATCH($S39&amp;$J39,[3]SorP!C:C,0))))</f>
        <v>DE-NI</v>
      </c>
      <c r="U39" s="201"/>
      <c r="V39" s="226">
        <f>IF(C39="",NA(),IF(OR(C39="Smelter not listed",C39="Smelter not yet identified"),MATCH($B39&amp;$D39,'[3]Smelter Look-up'!$J:$J,0),MATCH($B39&amp;$C39,'[3]Smelter Look-up'!$J:$J,0)))</f>
        <v>589</v>
      </c>
      <c r="X39" s="227">
        <f t="shared" si="1"/>
        <v>0</v>
      </c>
      <c r="AB39" s="228" t="str">
        <f t="shared" si="2"/>
        <v>TungstenH.C. Starck Tungsten GmbH</v>
      </c>
    </row>
    <row r="40" spans="1:28" s="227" customFormat="1" ht="19.899999999999999" customHeight="1">
      <c r="A40" s="262"/>
      <c r="B40" s="182" t="s">
        <v>1119</v>
      </c>
      <c r="C40" s="186" t="s">
        <v>1156</v>
      </c>
      <c r="D40" s="230"/>
      <c r="E40" s="182" t="s">
        <v>1088</v>
      </c>
      <c r="F40" s="182" t="s">
        <v>701</v>
      </c>
      <c r="G40" s="182" t="s">
        <v>13217</v>
      </c>
      <c r="H40" s="293" t="s">
        <v>15855</v>
      </c>
      <c r="I40" s="184" t="s">
        <v>1614</v>
      </c>
      <c r="J40" s="184" t="s">
        <v>1615</v>
      </c>
      <c r="K40" s="294" t="s">
        <v>15862</v>
      </c>
      <c r="L40" s="294" t="s">
        <v>15863</v>
      </c>
      <c r="M40" s="294"/>
      <c r="N40" s="294" t="s">
        <v>15864</v>
      </c>
      <c r="O40" s="294" t="s">
        <v>15864</v>
      </c>
      <c r="P40" s="294" t="s">
        <v>485</v>
      </c>
      <c r="Q40" s="225" t="s">
        <v>15865</v>
      </c>
      <c r="R40" s="182" t="s">
        <v>2288</v>
      </c>
      <c r="S40" s="181" t="str">
        <f t="shared" ref="S40" ca="1" si="7">IF(B40="","",IF(ISERROR(MATCH($E40,CL,0)),"Unknown",INDIRECT("'C'!$A$"&amp;MATCH($E40,CL,0)+1)))</f>
        <v>CH</v>
      </c>
      <c r="T40" s="181" t="str">
        <f ca="1">IF(B40="","",IF(ISERROR(MATCH($J40,[4]SorP!$B$1:$B$6279,0)),"",INDIRECT("'SorP'!$A$"&amp;MATCH($S40&amp;$J40,[4]SorP!C:C,0))))</f>
        <v>CH-NE</v>
      </c>
      <c r="U40" s="201"/>
      <c r="V40" s="226">
        <f>IF(C40="",NA(),IF(OR(C40="Smelter not listed",C40="Smelter not yet identified"),MATCH($B40&amp;$D40,'[4]Smelter Look-up'!$J:$J,0),MATCH($B40&amp;$C40,'[4]Smelter Look-up'!$J:$J,0)))</f>
        <v>171</v>
      </c>
      <c r="X40" s="227">
        <f t="shared" si="1"/>
        <v>0</v>
      </c>
      <c r="AB40" s="228" t="str">
        <f t="shared" si="2"/>
        <v>GoldMetalor Switzerland</v>
      </c>
    </row>
    <row r="41" spans="1:28" s="227" customFormat="1" ht="19.899999999999999" customHeight="1">
      <c r="A41" s="262"/>
      <c r="B41" s="182" t="s">
        <v>1119</v>
      </c>
      <c r="C41" s="186" t="s">
        <v>2134</v>
      </c>
      <c r="D41" s="230"/>
      <c r="E41" s="182" t="s">
        <v>1090</v>
      </c>
      <c r="F41" s="182" t="s">
        <v>699</v>
      </c>
      <c r="G41" s="182" t="s">
        <v>13217</v>
      </c>
      <c r="H41" s="293" t="s">
        <v>15857</v>
      </c>
      <c r="I41" s="184" t="s">
        <v>1613</v>
      </c>
      <c r="J41" s="184" t="s">
        <v>15858</v>
      </c>
      <c r="K41" s="294" t="s">
        <v>15866</v>
      </c>
      <c r="L41" s="295" t="s">
        <v>15867</v>
      </c>
      <c r="M41" s="296"/>
      <c r="N41" s="297" t="s">
        <v>15864</v>
      </c>
      <c r="O41" s="297" t="s">
        <v>15864</v>
      </c>
      <c r="P41" s="294" t="s">
        <v>485</v>
      </c>
      <c r="Q41" s="225" t="s">
        <v>15865</v>
      </c>
      <c r="R41" s="182" t="s">
        <v>2134</v>
      </c>
      <c r="S41" s="181" t="str">
        <f t="shared" ref="S41:S72" ca="1" si="8">IF(B41="","",IF(ISERROR(MATCH($E41,CL,0)),"Unknown",INDIRECT("'C'!$A$"&amp;MATCH($E41,CL,0)+1)))</f>
        <v>CN</v>
      </c>
      <c r="T41" s="181" t="str">
        <f ca="1">IF(B41="","",IF(ISERROR(MATCH($J41,[4]SorP!$B$1:$B$6279,0)),"",INDIRECT("'SorP'!$A$"&amp;MATCH($S41&amp;$J41,[4]SorP!C:C,0))))</f>
        <v>CN-HK</v>
      </c>
      <c r="U41" s="201"/>
      <c r="V41" s="226">
        <f>IF(C41="",NA(),IF(OR(C41="Smelter not listed",C41="Smelter not yet identified"),MATCH($B41&amp;$D41,'[4]Smelter Look-up'!$J:$J,0),MATCH($B41&amp;$C41,'[4]Smelter Look-up'!$J:$J,0)))</f>
        <v>172</v>
      </c>
      <c r="X41" s="227">
        <f t="shared" si="1"/>
        <v>0</v>
      </c>
      <c r="AB41" s="228" t="str">
        <f t="shared" si="2"/>
        <v>GoldMetalor Technologies (Hong Kong) Ltd.</v>
      </c>
    </row>
    <row r="42" spans="1:28" s="227" customFormat="1" ht="19.899999999999999" customHeight="1">
      <c r="A42" s="262"/>
      <c r="B42" s="182" t="s">
        <v>1119</v>
      </c>
      <c r="C42" s="186" t="s">
        <v>2135</v>
      </c>
      <c r="D42" s="230"/>
      <c r="E42" s="182" t="s">
        <v>876</v>
      </c>
      <c r="F42" s="182" t="s">
        <v>700</v>
      </c>
      <c r="G42" s="182" t="s">
        <v>13217</v>
      </c>
      <c r="H42" s="293" t="s">
        <v>15868</v>
      </c>
      <c r="I42" s="184" t="s">
        <v>12701</v>
      </c>
      <c r="J42" s="184" t="s">
        <v>10273</v>
      </c>
      <c r="K42" s="294" t="s">
        <v>15869</v>
      </c>
      <c r="L42" s="298" t="s">
        <v>15870</v>
      </c>
      <c r="M42" s="296"/>
      <c r="N42" s="297" t="s">
        <v>15864</v>
      </c>
      <c r="O42" s="297" t="s">
        <v>15864</v>
      </c>
      <c r="P42" s="294" t="s">
        <v>485</v>
      </c>
      <c r="Q42" s="225" t="s">
        <v>15865</v>
      </c>
      <c r="R42" s="182" t="s">
        <v>2135</v>
      </c>
      <c r="S42" s="181" t="str">
        <f t="shared" ca="1" si="8"/>
        <v>SG</v>
      </c>
      <c r="T42" s="181" t="str">
        <f ca="1">IF(B42="","",IF(ISERROR(MATCH($J42,[4]SorP!$B$1:$B$6279,0)),"",INDIRECT("'SorP'!$A$"&amp;MATCH($S42&amp;$J42,[4]SorP!C:C,0))))</f>
        <v>SG-05</v>
      </c>
      <c r="U42" s="201"/>
      <c r="V42" s="226">
        <f>IF(C42="",NA(),IF(OR(C42="Smelter not listed",C42="Smelter not yet identified"),MATCH($B42&amp;$D42,'[4]Smelter Look-up'!$J:$J,0),MATCH($B42&amp;$C42,'[4]Smelter Look-up'!$J:$J,0)))</f>
        <v>173</v>
      </c>
      <c r="X42" s="227">
        <f t="shared" si="1"/>
        <v>0</v>
      </c>
      <c r="AB42" s="228" t="str">
        <f t="shared" si="2"/>
        <v>GoldMetalor Technologies (Singapore) Pte., Ltd.</v>
      </c>
    </row>
    <row r="43" spans="1:28" s="227" customFormat="1" ht="19.899999999999999" customHeight="1">
      <c r="A43" s="262"/>
      <c r="B43" s="182" t="s">
        <v>1119</v>
      </c>
      <c r="C43" s="186" t="s">
        <v>1611</v>
      </c>
      <c r="D43" s="230"/>
      <c r="E43" s="182" t="s">
        <v>1090</v>
      </c>
      <c r="F43" s="182" t="s">
        <v>1612</v>
      </c>
      <c r="G43" s="182" t="s">
        <v>13217</v>
      </c>
      <c r="H43" s="293" t="s">
        <v>15860</v>
      </c>
      <c r="I43" s="184" t="s">
        <v>2495</v>
      </c>
      <c r="J43" s="184" t="s">
        <v>13609</v>
      </c>
      <c r="K43" s="294" t="s">
        <v>15871</v>
      </c>
      <c r="L43" s="298" t="s">
        <v>15872</v>
      </c>
      <c r="M43" s="296"/>
      <c r="N43" s="297" t="s">
        <v>15864</v>
      </c>
      <c r="O43" s="297" t="s">
        <v>15864</v>
      </c>
      <c r="P43" s="294" t="s">
        <v>485</v>
      </c>
      <c r="Q43" s="225" t="s">
        <v>15865</v>
      </c>
      <c r="R43" s="182" t="s">
        <v>1611</v>
      </c>
      <c r="S43" s="181" t="str">
        <f t="shared" ca="1" si="8"/>
        <v>CN</v>
      </c>
      <c r="T43" s="181" t="str">
        <f ca="1">IF(B43="","",IF(ISERROR(MATCH($J43,[4]SorP!$B$1:$B$6279,0)),"",INDIRECT("'SorP'!$A$"&amp;MATCH($S43&amp;$J43,[4]SorP!C:C,0))))</f>
        <v>CN-JS</v>
      </c>
      <c r="U43" s="201"/>
      <c r="V43" s="226">
        <f>IF(C43="",NA(),IF(OR(C43="Smelter not listed",C43="Smelter not yet identified"),MATCH($B43&amp;$D43,'[4]Smelter Look-up'!$J:$J,0),MATCH($B43&amp;$C43,'[4]Smelter Look-up'!$J:$J,0)))</f>
        <v>174</v>
      </c>
      <c r="X43" s="227">
        <f t="shared" si="1"/>
        <v>0</v>
      </c>
      <c r="AB43" s="228" t="str">
        <f t="shared" si="2"/>
        <v>GoldMetalor Technologies (Suzhou) Ltd.</v>
      </c>
    </row>
    <row r="44" spans="1:28" s="227" customFormat="1" ht="19.899999999999999" customHeight="1">
      <c r="A44" s="262"/>
      <c r="B44" s="182" t="s">
        <v>1119</v>
      </c>
      <c r="C44" s="186" t="s">
        <v>2288</v>
      </c>
      <c r="D44" s="230"/>
      <c r="E44" s="182" t="s">
        <v>1088</v>
      </c>
      <c r="F44" s="182" t="s">
        <v>701</v>
      </c>
      <c r="G44" s="182" t="s">
        <v>13217</v>
      </c>
      <c r="H44" s="293" t="s">
        <v>15855</v>
      </c>
      <c r="I44" s="184" t="s">
        <v>1614</v>
      </c>
      <c r="J44" s="184" t="s">
        <v>1615</v>
      </c>
      <c r="K44" s="294" t="s">
        <v>15862</v>
      </c>
      <c r="L44" s="294" t="s">
        <v>15863</v>
      </c>
      <c r="M44" s="294"/>
      <c r="N44" s="294" t="s">
        <v>15864</v>
      </c>
      <c r="O44" s="294" t="s">
        <v>15864</v>
      </c>
      <c r="P44" s="294" t="s">
        <v>485</v>
      </c>
      <c r="Q44" s="225" t="s">
        <v>15865</v>
      </c>
      <c r="R44" s="182" t="s">
        <v>2288</v>
      </c>
      <c r="S44" s="181" t="str">
        <f t="shared" ca="1" si="8"/>
        <v>CH</v>
      </c>
      <c r="T44" s="181" t="str">
        <f ca="1">IF(B44="","",IF(ISERROR(MATCH($J44,[4]SorP!$B$1:$B$6279,0)),"",INDIRECT("'SorP'!$A$"&amp;MATCH($S44&amp;$J44,[4]SorP!C:C,0))))</f>
        <v>CH-NE</v>
      </c>
      <c r="U44" s="201"/>
      <c r="V44" s="226">
        <f>IF(C44="",NA(),IF(OR(C44="Smelter not listed",C44="Smelter not yet identified"),MATCH($B44&amp;$D44,'[4]Smelter Look-up'!$J:$J,0),MATCH($B44&amp;$C44,'[4]Smelter Look-up'!$J:$J,0)))</f>
        <v>175</v>
      </c>
      <c r="X44" s="227">
        <f t="shared" si="1"/>
        <v>0</v>
      </c>
      <c r="AB44" s="228" t="str">
        <f t="shared" si="2"/>
        <v>GoldMetalor Technologies S.A.</v>
      </c>
    </row>
    <row r="45" spans="1:28" s="227" customFormat="1" ht="19.899999999999999" customHeight="1">
      <c r="A45" s="262"/>
      <c r="B45" s="182" t="s">
        <v>1119</v>
      </c>
      <c r="C45" s="186" t="s">
        <v>1217</v>
      </c>
      <c r="D45" s="230"/>
      <c r="E45" s="182" t="s">
        <v>2415</v>
      </c>
      <c r="F45" s="182" t="s">
        <v>702</v>
      </c>
      <c r="G45" s="182" t="s">
        <v>13217</v>
      </c>
      <c r="H45" s="293" t="s">
        <v>15873</v>
      </c>
      <c r="I45" s="184" t="s">
        <v>1616</v>
      </c>
      <c r="J45" s="184" t="s">
        <v>1617</v>
      </c>
      <c r="K45" s="295" t="s">
        <v>15874</v>
      </c>
      <c r="L45" s="298" t="s">
        <v>15875</v>
      </c>
      <c r="M45" s="296"/>
      <c r="N45" s="294" t="s">
        <v>15864</v>
      </c>
      <c r="O45" s="294" t="s">
        <v>15864</v>
      </c>
      <c r="P45" s="294" t="s">
        <v>485</v>
      </c>
      <c r="Q45" s="225" t="s">
        <v>15865</v>
      </c>
      <c r="R45" s="182" t="s">
        <v>1217</v>
      </c>
      <c r="S45" s="181" t="str">
        <f t="shared" ca="1" si="8"/>
        <v>US</v>
      </c>
      <c r="T45" s="181" t="str">
        <f ca="1">IF(B45="","",IF(ISERROR(MATCH($J45,[4]SorP!$B$1:$B$6279,0)),"",INDIRECT("'SorP'!$A$"&amp;MATCH($S45&amp;$J45,[4]SorP!C:C,0))))</f>
        <v>US-MA</v>
      </c>
      <c r="U45" s="201"/>
      <c r="V45" s="226">
        <f>IF(C45="",NA(),IF(OR(C45="Smelter not listed",C45="Smelter not yet identified"),MATCH($B45&amp;$D45,'[4]Smelter Look-up'!$J:$J,0),MATCH($B45&amp;$C45,'[4]Smelter Look-up'!$J:$J,0)))</f>
        <v>176</v>
      </c>
      <c r="X45" s="227">
        <f t="shared" si="1"/>
        <v>0</v>
      </c>
      <c r="AB45" s="228" t="str">
        <f t="shared" si="2"/>
        <v>GoldMetalor USA Refining Corporation</v>
      </c>
    </row>
    <row r="46" spans="1:28" s="227" customFormat="1" ht="19.899999999999999" customHeight="1">
      <c r="A46" s="262"/>
      <c r="B46" s="182" t="s">
        <v>15876</v>
      </c>
      <c r="C46" s="186" t="s">
        <v>15876</v>
      </c>
      <c r="D46" s="230"/>
      <c r="E46" s="182" t="s">
        <v>15876</v>
      </c>
      <c r="F46" s="182" t="s">
        <v>15876</v>
      </c>
      <c r="G46" s="182" t="s">
        <v>15876</v>
      </c>
      <c r="H46" s="183" t="s">
        <v>15876</v>
      </c>
      <c r="I46" s="184" t="s">
        <v>15876</v>
      </c>
      <c r="J46" s="184" t="s">
        <v>15876</v>
      </c>
      <c r="K46" s="224"/>
      <c r="L46" s="224"/>
      <c r="M46" s="224"/>
      <c r="N46" s="224"/>
      <c r="O46" s="224"/>
      <c r="P46" s="185"/>
      <c r="Q46" s="225"/>
      <c r="R46" s="182" t="s">
        <v>15876</v>
      </c>
      <c r="S46" s="181" t="str">
        <f t="shared" ca="1" si="8"/>
        <v/>
      </c>
      <c r="T46" s="181" t="str">
        <f ca="1">IF(B46="","",IF(ISERROR(MATCH($J46,[4]SorP!$B$1:$B$6279,0)),"",INDIRECT("'SorP'!$A$"&amp;MATCH($S46&amp;$J46,[4]SorP!C:C,0))))</f>
        <v/>
      </c>
      <c r="U46" s="201"/>
      <c r="V46" s="226" t="e">
        <f>IF(C46="",NA(),IF(OR(C46="Smelter not listed",C46="Smelter not yet identified"),MATCH($B46&amp;$D46,'[4]Smelter Look-up'!$J:$J,0),MATCH($B46&amp;$C46,'[4]Smelter Look-up'!$J:$J,0)))</f>
        <v>#N/A</v>
      </c>
      <c r="X46" s="227">
        <f t="shared" si="1"/>
        <v>0</v>
      </c>
      <c r="AB46" s="228" t="str">
        <f t="shared" si="2"/>
        <v/>
      </c>
    </row>
    <row r="47" spans="1:28" s="227" customFormat="1" ht="19.899999999999999" customHeight="1">
      <c r="A47" s="262"/>
      <c r="B47" s="182" t="s">
        <v>1119</v>
      </c>
      <c r="C47" s="186" t="s">
        <v>2314</v>
      </c>
      <c r="D47" s="230"/>
      <c r="E47" s="182" t="s">
        <v>1085</v>
      </c>
      <c r="F47" s="182" t="s">
        <v>732</v>
      </c>
      <c r="G47" s="182" t="s">
        <v>13217</v>
      </c>
      <c r="H47" s="183">
        <v>0</v>
      </c>
      <c r="I47" s="184" t="s">
        <v>1667</v>
      </c>
      <c r="J47" s="184" t="s">
        <v>3135</v>
      </c>
      <c r="K47" s="224"/>
      <c r="L47" s="224"/>
      <c r="M47" s="224"/>
      <c r="N47" s="224"/>
      <c r="O47" s="224"/>
      <c r="P47" s="185"/>
      <c r="Q47" s="225" t="s">
        <v>15865</v>
      </c>
      <c r="R47" s="182" t="s">
        <v>2314</v>
      </c>
      <c r="S47" s="181" t="str">
        <f t="shared" ca="1" si="8"/>
        <v>BE</v>
      </c>
      <c r="T47" s="181" t="str">
        <f ca="1">IF(B47="","",IF(ISERROR(MATCH($J47,[4]SorP!$B$1:$B$6279,0)),"",INDIRECT("'SorP'!$A$"&amp;MATCH($S47&amp;$J47,[4]SorP!C:C,0))))</f>
        <v>BE-VAN</v>
      </c>
      <c r="U47" s="201"/>
      <c r="V47" s="226">
        <f>IF(C47="",NA(),IF(OR(C47="Smelter not listed",C47="Smelter not yet identified"),MATCH($B47&amp;$D47,'[4]Smelter Look-up'!$J:$J,0),MATCH($B47&amp;$C47,'[4]Smelter Look-up'!$J:$J,0)))</f>
        <v>293</v>
      </c>
      <c r="X47" s="227">
        <f t="shared" si="1"/>
        <v>0</v>
      </c>
      <c r="AB47" s="228" t="str">
        <f t="shared" si="2"/>
        <v>GoldUmicore S.A. Business Unit Precious Metals Refining</v>
      </c>
    </row>
    <row r="48" spans="1:28" s="227" customFormat="1" ht="19.899999999999999" customHeight="1">
      <c r="A48" s="262"/>
      <c r="B48" s="182" t="s">
        <v>15876</v>
      </c>
      <c r="C48" s="186" t="s">
        <v>15876</v>
      </c>
      <c r="D48" s="230"/>
      <c r="E48" s="182" t="s">
        <v>15876</v>
      </c>
      <c r="F48" s="182" t="s">
        <v>15876</v>
      </c>
      <c r="G48" s="182" t="s">
        <v>15876</v>
      </c>
      <c r="H48" s="183" t="s">
        <v>15876</v>
      </c>
      <c r="I48" s="184" t="s">
        <v>15876</v>
      </c>
      <c r="J48" s="184" t="s">
        <v>15876</v>
      </c>
      <c r="K48" s="224"/>
      <c r="L48" s="224"/>
      <c r="M48" s="224"/>
      <c r="N48" s="224"/>
      <c r="O48" s="224"/>
      <c r="P48" s="185"/>
      <c r="Q48" s="225"/>
      <c r="R48" s="182" t="s">
        <v>15876</v>
      </c>
      <c r="S48" s="181" t="str">
        <f t="shared" ca="1" si="8"/>
        <v/>
      </c>
      <c r="T48" s="181" t="str">
        <f ca="1">IF(B48="","",IF(ISERROR(MATCH($J48,[4]SorP!$B$1:$B$6279,0)),"",INDIRECT("'SorP'!$A$"&amp;MATCH($S48&amp;$J48,[4]SorP!C:C,0))))</f>
        <v/>
      </c>
      <c r="U48" s="201"/>
      <c r="V48" s="226" t="e">
        <f>IF(C48="",NA(),IF(OR(C48="Smelter not listed",C48="Smelter not yet identified"),MATCH($B48&amp;$D48,'[4]Smelter Look-up'!$J:$J,0),MATCH($B48&amp;$C48,'[4]Smelter Look-up'!$J:$J,0)))</f>
        <v>#N/A</v>
      </c>
      <c r="X48" s="227">
        <f t="shared" si="1"/>
        <v>0</v>
      </c>
      <c r="AB48" s="228" t="str">
        <f t="shared" si="2"/>
        <v/>
      </c>
    </row>
    <row r="49" spans="1:28" s="227" customFormat="1" ht="19.899999999999999" customHeight="1">
      <c r="A49" s="262"/>
      <c r="B49" s="182" t="s">
        <v>1120</v>
      </c>
      <c r="C49" s="186" t="s">
        <v>13778</v>
      </c>
      <c r="D49" s="230"/>
      <c r="E49" s="182" t="s">
        <v>1095</v>
      </c>
      <c r="F49" s="182" t="s">
        <v>776</v>
      </c>
      <c r="G49" s="182" t="s">
        <v>13217</v>
      </c>
      <c r="H49" s="183">
        <v>0</v>
      </c>
      <c r="I49" s="184" t="s">
        <v>1780</v>
      </c>
      <c r="J49" s="184" t="s">
        <v>12830</v>
      </c>
      <c r="K49" s="224"/>
      <c r="L49" s="224"/>
      <c r="M49" s="224"/>
      <c r="N49" s="224"/>
      <c r="O49" s="224"/>
      <c r="P49" s="185"/>
      <c r="Q49" s="225" t="s">
        <v>15865</v>
      </c>
      <c r="R49" s="182" t="s">
        <v>13778</v>
      </c>
      <c r="S49" s="181" t="str">
        <f t="shared" ca="1" si="8"/>
        <v>ID</v>
      </c>
      <c r="T49" s="181" t="str">
        <f ca="1">IF(B49="","",IF(ISERROR(MATCH($J49,[4]SorP!$B$1:$B$6279,0)),"",INDIRECT("'SorP'!$A$"&amp;MATCH($S49&amp;$J49,[4]SorP!C:C,0))))</f>
        <v>ID-BB</v>
      </c>
      <c r="U49" s="201"/>
      <c r="V49" s="226">
        <f>IF(C49="",NA(),IF(OR(C49="Smelter not listed",C49="Smelter not yet identified"),MATCH($B49&amp;$D49,'[4]Smelter Look-up'!$J:$J,0),MATCH($B49&amp;$C49,'[4]Smelter Look-up'!$J:$J,0)))</f>
        <v>514</v>
      </c>
      <c r="X49" s="227">
        <f t="shared" si="1"/>
        <v>0</v>
      </c>
      <c r="AB49" s="228" t="str">
        <f t="shared" si="2"/>
        <v>TinPT Timah Tbk Mentok</v>
      </c>
    </row>
    <row r="50" spans="1:28" s="227" customFormat="1" ht="19.899999999999999" customHeight="1">
      <c r="A50" s="262"/>
      <c r="B50" s="182" t="s">
        <v>1120</v>
      </c>
      <c r="C50" s="186" t="s">
        <v>2324</v>
      </c>
      <c r="D50" s="230"/>
      <c r="E50" s="182" t="s">
        <v>1095</v>
      </c>
      <c r="F50" s="182" t="s">
        <v>776</v>
      </c>
      <c r="G50" s="182" t="s">
        <v>13217</v>
      </c>
      <c r="H50" s="183">
        <v>0</v>
      </c>
      <c r="I50" s="184" t="s">
        <v>1780</v>
      </c>
      <c r="J50" s="184" t="s">
        <v>12830</v>
      </c>
      <c r="K50" s="224"/>
      <c r="L50" s="224"/>
      <c r="M50" s="224"/>
      <c r="N50" s="224"/>
      <c r="O50" s="224"/>
      <c r="P50" s="185"/>
      <c r="Q50" s="225" t="s">
        <v>15865</v>
      </c>
      <c r="R50" s="182" t="s">
        <v>13778</v>
      </c>
      <c r="S50" s="181" t="str">
        <f t="shared" ca="1" si="8"/>
        <v>ID</v>
      </c>
      <c r="T50" s="181" t="str">
        <f ca="1">IF(B50="","",IF(ISERROR(MATCH($J50,[4]SorP!$B$1:$B$6279,0)),"",INDIRECT("'SorP'!$A$"&amp;MATCH($S50&amp;$J50,[4]SorP!C:C,0))))</f>
        <v>ID-BB</v>
      </c>
      <c r="U50" s="201"/>
      <c r="V50" s="226">
        <f>IF(C50="",NA(),IF(OR(C50="Smelter not listed",C50="Smelter not yet identified"),MATCH($B50&amp;$D50,'[4]Smelter Look-up'!$J:$J,0),MATCH($B50&amp;$C50,'[4]Smelter Look-up'!$J:$J,0)))</f>
        <v>447</v>
      </c>
      <c r="X50" s="227">
        <f t="shared" si="1"/>
        <v>0</v>
      </c>
      <c r="AB50" s="228" t="str">
        <f t="shared" si="2"/>
        <v>TinINDONESIAN STATE TIN CORPORATION MENTOK SMELTER</v>
      </c>
    </row>
    <row r="51" spans="1:28" s="227" customFormat="1" ht="19.899999999999999" customHeight="1">
      <c r="A51" s="262"/>
      <c r="B51" s="182" t="s">
        <v>1120</v>
      </c>
      <c r="C51" s="186" t="s">
        <v>1024</v>
      </c>
      <c r="D51" s="230"/>
      <c r="E51" s="182" t="s">
        <v>870</v>
      </c>
      <c r="F51" s="182" t="s">
        <v>768</v>
      </c>
      <c r="G51" s="182" t="s">
        <v>13217</v>
      </c>
      <c r="H51" s="183">
        <v>0</v>
      </c>
      <c r="I51" s="184" t="s">
        <v>1771</v>
      </c>
      <c r="J51" s="184" t="s">
        <v>9093</v>
      </c>
      <c r="K51" s="224"/>
      <c r="L51" s="224"/>
      <c r="M51" s="224"/>
      <c r="N51" s="224"/>
      <c r="O51" s="224"/>
      <c r="P51" s="185"/>
      <c r="Q51" s="225" t="s">
        <v>15865</v>
      </c>
      <c r="R51" s="182" t="s">
        <v>1024</v>
      </c>
      <c r="S51" s="181" t="str">
        <f t="shared" ca="1" si="8"/>
        <v>PE</v>
      </c>
      <c r="T51" s="181" t="str">
        <f ca="1">IF(B51="","",IF(ISERROR(MATCH($J51,[4]SorP!$B$1:$B$6279,0)),"",INDIRECT("'SorP'!$A$"&amp;MATCH($S51&amp;$J51,[4]SorP!C:C,0))))</f>
        <v>PE-ICA</v>
      </c>
      <c r="U51" s="201"/>
      <c r="V51" s="226">
        <f>IF(C51="",NA(),IF(OR(C51="Smelter not listed",C51="Smelter not yet identified"),MATCH($B51&amp;$D51,'[4]Smelter Look-up'!$J:$J,0),MATCH($B51&amp;$C51,'[4]Smelter Look-up'!$J:$J,0)))</f>
        <v>470</v>
      </c>
      <c r="X51" s="227">
        <f t="shared" si="1"/>
        <v>0</v>
      </c>
      <c r="AB51" s="228" t="str">
        <f t="shared" si="2"/>
        <v>TinMinsur</v>
      </c>
    </row>
    <row r="52" spans="1:28" s="227" customFormat="1" ht="19.899999999999999" customHeight="1">
      <c r="A52" s="262"/>
      <c r="B52" s="182" t="s">
        <v>15876</v>
      </c>
      <c r="C52" s="186" t="s">
        <v>15876</v>
      </c>
      <c r="D52" s="230"/>
      <c r="E52" s="182" t="s">
        <v>15876</v>
      </c>
      <c r="F52" s="182" t="s">
        <v>15876</v>
      </c>
      <c r="G52" s="182" t="s">
        <v>15876</v>
      </c>
      <c r="H52" s="183" t="s">
        <v>15876</v>
      </c>
      <c r="I52" s="184" t="s">
        <v>15876</v>
      </c>
      <c r="J52" s="184" t="s">
        <v>15876</v>
      </c>
      <c r="K52" s="224"/>
      <c r="L52" s="224"/>
      <c r="M52" s="224"/>
      <c r="N52" s="224"/>
      <c r="O52" s="224"/>
      <c r="P52" s="185"/>
      <c r="Q52" s="225"/>
      <c r="R52" s="182" t="s">
        <v>15876</v>
      </c>
      <c r="S52" s="181" t="str">
        <f t="shared" ca="1" si="8"/>
        <v/>
      </c>
      <c r="T52" s="181" t="str">
        <f ca="1">IF(B52="","",IF(ISERROR(MATCH($J52,[4]SorP!$B$1:$B$6279,0)),"",INDIRECT("'SorP'!$A$"&amp;MATCH($S52&amp;$J52,[4]SorP!C:C,0))))</f>
        <v/>
      </c>
      <c r="U52" s="201"/>
      <c r="V52" s="226" t="e">
        <f>IF(C52="",NA(),IF(OR(C52="Smelter not listed",C52="Smelter not yet identified"),MATCH($B52&amp;$D52,'[4]Smelter Look-up'!$J:$J,0),MATCH($B52&amp;$C52,'[4]Smelter Look-up'!$J:$J,0)))</f>
        <v>#N/A</v>
      </c>
      <c r="X52" s="227">
        <f t="shared" si="1"/>
        <v>0</v>
      </c>
      <c r="AB52" s="228" t="str">
        <f t="shared" si="2"/>
        <v/>
      </c>
    </row>
    <row r="53" spans="1:28" s="227" customFormat="1" ht="19.899999999999999" customHeight="1">
      <c r="A53" s="181"/>
      <c r="B53" s="182" t="s">
        <v>1120</v>
      </c>
      <c r="C53" s="186" t="s">
        <v>1783</v>
      </c>
      <c r="D53" s="230"/>
      <c r="E53" s="182" t="s">
        <v>878</v>
      </c>
      <c r="F53" s="182" t="s">
        <v>779</v>
      </c>
      <c r="G53" s="182" t="s">
        <v>13217</v>
      </c>
      <c r="H53" s="183">
        <v>0</v>
      </c>
      <c r="I53" s="184" t="s">
        <v>1781</v>
      </c>
      <c r="J53" s="184" t="s">
        <v>1782</v>
      </c>
      <c r="K53" s="224"/>
      <c r="L53" s="224"/>
      <c r="M53" s="224"/>
      <c r="N53" s="224"/>
      <c r="O53" s="224"/>
      <c r="P53" s="185"/>
      <c r="Q53" s="225" t="s">
        <v>15865</v>
      </c>
      <c r="R53" s="182" t="s">
        <v>1021</v>
      </c>
      <c r="S53" s="181" t="str">
        <f t="shared" ca="1" si="8"/>
        <v>TH</v>
      </c>
      <c r="T53" s="181" t="str">
        <f ca="1">IF(B53="","",IF(ISERROR(MATCH($J53,[4]SorP!$B$1:$B$6279,0)),"",INDIRECT("'SorP'!$A$"&amp;MATCH($S53&amp;$J53,[4]SorP!C:C,0))))</f>
        <v>TH-83</v>
      </c>
      <c r="U53" s="201"/>
      <c r="V53" s="226">
        <f>IF(C53="",NA(),IF(OR(C53="Smelter not listed",C53="Smelter not yet identified"),MATCH($B53&amp;$D53,'[4]Smelter Look-up'!$J:$J,0),MATCH($B53&amp;$C53,'[4]Smelter Look-up'!$J:$J,0)))</f>
        <v>525</v>
      </c>
      <c r="X53" s="227">
        <f t="shared" si="1"/>
        <v>0</v>
      </c>
      <c r="AB53" s="228" t="str">
        <f t="shared" si="2"/>
        <v>TinThailand Smelting &amp; Refining Co Ltd</v>
      </c>
    </row>
    <row r="54" spans="1:28" s="227" customFormat="1" ht="51">
      <c r="A54" s="181"/>
      <c r="B54" s="182" t="s">
        <v>1120</v>
      </c>
      <c r="C54" s="186" t="s">
        <v>13778</v>
      </c>
      <c r="D54" s="230"/>
      <c r="E54" s="182" t="s">
        <v>1095</v>
      </c>
      <c r="F54" s="182" t="s">
        <v>776</v>
      </c>
      <c r="G54" s="182" t="s">
        <v>13217</v>
      </c>
      <c r="H54" s="183">
        <v>0</v>
      </c>
      <c r="I54" s="184" t="s">
        <v>1780</v>
      </c>
      <c r="J54" s="184" t="s">
        <v>12830</v>
      </c>
      <c r="K54" s="224"/>
      <c r="L54" s="224"/>
      <c r="M54" s="224"/>
      <c r="N54" s="224"/>
      <c r="O54" s="224"/>
      <c r="P54" s="185"/>
      <c r="Q54" s="225" t="s">
        <v>15865</v>
      </c>
      <c r="R54" s="182" t="s">
        <v>13778</v>
      </c>
      <c r="S54" s="181" t="str">
        <f t="shared" ca="1" si="8"/>
        <v>ID</v>
      </c>
      <c r="T54" s="181" t="str">
        <f ca="1">IF(B54="","",IF(ISERROR(MATCH($J54,[4]SorP!$B$1:$B$6279,0)),"",INDIRECT("'SorP'!$A$"&amp;MATCH($S54&amp;$J54,[4]SorP!C:C,0))))</f>
        <v>ID-BB</v>
      </c>
      <c r="U54" s="201"/>
      <c r="V54" s="226">
        <f>IF(C54="",NA(),IF(OR(C54="Smelter not listed",C54="Smelter not yet identified"),MATCH($B54&amp;$D54,'[4]Smelter Look-up'!$J:$J,0),MATCH($B54&amp;$C54,'[4]Smelter Look-up'!$J:$J,0)))</f>
        <v>514</v>
      </c>
      <c r="X54" s="227">
        <f t="shared" si="1"/>
        <v>0</v>
      </c>
      <c r="AB54" s="228" t="str">
        <f t="shared" si="2"/>
        <v>TinPT Timah Tbk Mentok</v>
      </c>
    </row>
    <row r="55" spans="1:28" s="227" customFormat="1" ht="51">
      <c r="A55" s="181"/>
      <c r="B55" s="182" t="s">
        <v>1120</v>
      </c>
      <c r="C55" s="186" t="s">
        <v>13779</v>
      </c>
      <c r="D55" s="230"/>
      <c r="E55" s="182" t="s">
        <v>1095</v>
      </c>
      <c r="F55" s="182" t="s">
        <v>794</v>
      </c>
      <c r="G55" s="182" t="s">
        <v>13217</v>
      </c>
      <c r="H55" s="183">
        <v>0</v>
      </c>
      <c r="I55" s="184" t="s">
        <v>1778</v>
      </c>
      <c r="J55" s="184" t="s">
        <v>6047</v>
      </c>
      <c r="K55" s="224"/>
      <c r="L55" s="224"/>
      <c r="M55" s="224"/>
      <c r="N55" s="224"/>
      <c r="O55" s="224"/>
      <c r="P55" s="185"/>
      <c r="Q55" s="225" t="s">
        <v>15865</v>
      </c>
      <c r="R55" s="182" t="s">
        <v>13779</v>
      </c>
      <c r="S55" s="181" t="str">
        <f t="shared" ca="1" si="8"/>
        <v>ID</v>
      </c>
      <c r="T55" s="181" t="str">
        <f ca="1">IF(B55="","",IF(ISERROR(MATCH($J55,[4]SorP!$B$1:$B$6279,0)),"",INDIRECT("'SorP'!$A$"&amp;MATCH($S55&amp;$J55,[4]SorP!C:C,0))))</f>
        <v>ID-RI</v>
      </c>
      <c r="U55" s="201"/>
      <c r="V55" s="226">
        <f>IF(C55="",NA(),IF(OR(C55="Smelter not listed",C55="Smelter not yet identified"),MATCH($B55&amp;$D55,'[4]Smelter Look-up'!$J:$J,0),MATCH($B55&amp;$C55,'[4]Smelter Look-up'!$J:$J,0)))</f>
        <v>513</v>
      </c>
      <c r="X55" s="227">
        <f t="shared" si="1"/>
        <v>0</v>
      </c>
      <c r="AB55" s="228" t="str">
        <f t="shared" si="2"/>
        <v>TinPT Timah Tbk Kundur</v>
      </c>
    </row>
    <row r="56" spans="1:28" s="227" customFormat="1" ht="38.25">
      <c r="A56" s="181"/>
      <c r="B56" s="182" t="s">
        <v>1120</v>
      </c>
      <c r="C56" s="186" t="s">
        <v>15496</v>
      </c>
      <c r="D56" s="230"/>
      <c r="E56" s="182" t="s">
        <v>1085</v>
      </c>
      <c r="F56" s="182" t="s">
        <v>1801</v>
      </c>
      <c r="G56" s="182" t="s">
        <v>13217</v>
      </c>
      <c r="H56" s="183">
        <v>0</v>
      </c>
      <c r="I56" s="184" t="s">
        <v>1802</v>
      </c>
      <c r="J56" s="184" t="s">
        <v>3135</v>
      </c>
      <c r="K56" s="224"/>
      <c r="L56" s="224"/>
      <c r="M56" s="224"/>
      <c r="N56" s="224"/>
      <c r="O56" s="224"/>
      <c r="P56" s="185"/>
      <c r="Q56" s="225" t="s">
        <v>15865</v>
      </c>
      <c r="R56" s="182" t="s">
        <v>15496</v>
      </c>
      <c r="S56" s="181" t="str">
        <f t="shared" ca="1" si="8"/>
        <v>BE</v>
      </c>
      <c r="T56" s="181" t="str">
        <f ca="1">IF(B56="","",IF(ISERROR(MATCH($J56,[4]SorP!$B$1:$B$6279,0)),"",INDIRECT("'SorP'!$A$"&amp;MATCH($S56&amp;$J56,[4]SorP!C:C,0))))</f>
        <v>BE-VAN</v>
      </c>
      <c r="U56" s="201"/>
      <c r="V56" s="226">
        <f>IF(C56="",NA(),IF(OR(C56="Smelter not listed",C56="Smelter not yet identified"),MATCH($B56&amp;$D56,'[4]Smelter Look-up'!$J:$J,0),MATCH($B56&amp;$C56,'[4]Smelter Look-up'!$J:$J,0)))</f>
        <v>394</v>
      </c>
      <c r="X56" s="227">
        <f t="shared" si="1"/>
        <v>0</v>
      </c>
      <c r="AB56" s="228" t="str">
        <f t="shared" si="2"/>
        <v>TinAurubis Beerse</v>
      </c>
    </row>
    <row r="57" spans="1:28" s="227" customFormat="1" ht="51">
      <c r="A57" s="181"/>
      <c r="B57" s="182" t="s">
        <v>1120</v>
      </c>
      <c r="C57" s="186" t="s">
        <v>2141</v>
      </c>
      <c r="D57" s="230"/>
      <c r="E57" s="182" t="s">
        <v>1095</v>
      </c>
      <c r="F57" s="182" t="s">
        <v>775</v>
      </c>
      <c r="G57" s="182" t="s">
        <v>13217</v>
      </c>
      <c r="H57" s="183">
        <v>0</v>
      </c>
      <c r="I57" s="184" t="s">
        <v>1753</v>
      </c>
      <c r="J57" s="184" t="s">
        <v>12830</v>
      </c>
      <c r="K57" s="224"/>
      <c r="L57" s="224"/>
      <c r="M57" s="224"/>
      <c r="N57" s="224"/>
      <c r="O57" s="224"/>
      <c r="P57" s="185"/>
      <c r="Q57" s="225" t="s">
        <v>15865</v>
      </c>
      <c r="R57" s="182" t="s">
        <v>2141</v>
      </c>
      <c r="S57" s="181" t="str">
        <f t="shared" ca="1" si="8"/>
        <v>ID</v>
      </c>
      <c r="T57" s="181" t="str">
        <f ca="1">IF(B57="","",IF(ISERROR(MATCH($J57,[4]SorP!$B$1:$B$6279,0)),"",INDIRECT("'SorP'!$A$"&amp;MATCH($S57&amp;$J57,[4]SorP!C:C,0))))</f>
        <v>ID-BB</v>
      </c>
      <c r="U57" s="201"/>
      <c r="V57" s="226">
        <f>IF(C57="",NA(),IF(OR(C57="Smelter not listed",C57="Smelter not yet identified"),MATCH($B57&amp;$D57,'[4]Smelter Look-up'!$J:$J,0),MATCH($B57&amp;$C57,'[4]Smelter Look-up'!$J:$J,0)))</f>
        <v>507</v>
      </c>
      <c r="X57" s="227">
        <f t="shared" si="1"/>
        <v>0</v>
      </c>
      <c r="AB57" s="228" t="str">
        <f t="shared" si="2"/>
        <v>TinPT Refined Bangka Tin</v>
      </c>
    </row>
    <row r="58" spans="1:28" s="227" customFormat="1" ht="51">
      <c r="A58" s="181"/>
      <c r="B58" s="182" t="s">
        <v>1120</v>
      </c>
      <c r="C58" s="186" t="s">
        <v>12914</v>
      </c>
      <c r="D58" s="230"/>
      <c r="E58" s="182" t="s">
        <v>1095</v>
      </c>
      <c r="F58" s="182" t="s">
        <v>14001</v>
      </c>
      <c r="G58" s="182" t="s">
        <v>13217</v>
      </c>
      <c r="H58" s="183">
        <v>0</v>
      </c>
      <c r="I58" s="184" t="s">
        <v>15113</v>
      </c>
      <c r="J58" s="184" t="s">
        <v>12830</v>
      </c>
      <c r="K58" s="224"/>
      <c r="L58" s="224"/>
      <c r="M58" s="224"/>
      <c r="N58" s="224"/>
      <c r="O58" s="224"/>
      <c r="P58" s="185"/>
      <c r="Q58" s="225" t="s">
        <v>15865</v>
      </c>
      <c r="R58" s="182" t="s">
        <v>12914</v>
      </c>
      <c r="S58" s="181" t="str">
        <f t="shared" ca="1" si="8"/>
        <v>ID</v>
      </c>
      <c r="T58" s="181" t="str">
        <f ca="1">IF(B58="","",IF(ISERROR(MATCH($J58,[4]SorP!$B$1:$B$6279,0)),"",INDIRECT("'SorP'!$A$"&amp;MATCH($S58&amp;$J58,[4]SorP!C:C,0))))</f>
        <v>ID-BB</v>
      </c>
      <c r="U58" s="201"/>
      <c r="V58" s="226">
        <f>IF(C58="",NA(),IF(OR(C58="Smelter not listed",C58="Smelter not yet identified"),MATCH($B58&amp;$D58,'[4]Smelter Look-up'!$J:$J,0),MATCH($B58&amp;$C58,'[4]Smelter Look-up'!$J:$J,0)))</f>
        <v>492</v>
      </c>
      <c r="X58" s="227">
        <f t="shared" si="1"/>
        <v>0</v>
      </c>
      <c r="AB58" s="228" t="str">
        <f t="shared" si="2"/>
        <v>TinPT Bangka Serumpun</v>
      </c>
    </row>
    <row r="59" spans="1:28" s="227" customFormat="1" ht="25.5">
      <c r="A59" s="181"/>
      <c r="B59" s="182" t="s">
        <v>1120</v>
      </c>
      <c r="C59" s="186" t="s">
        <v>1024</v>
      </c>
      <c r="D59" s="230"/>
      <c r="E59" s="182" t="s">
        <v>870</v>
      </c>
      <c r="F59" s="182" t="s">
        <v>768</v>
      </c>
      <c r="G59" s="182" t="s">
        <v>13217</v>
      </c>
      <c r="H59" s="183">
        <v>0</v>
      </c>
      <c r="I59" s="184" t="s">
        <v>1771</v>
      </c>
      <c r="J59" s="184" t="s">
        <v>9093</v>
      </c>
      <c r="K59" s="224"/>
      <c r="L59" s="224"/>
      <c r="M59" s="224"/>
      <c r="N59" s="224"/>
      <c r="O59" s="224"/>
      <c r="P59" s="185"/>
      <c r="Q59" s="225" t="s">
        <v>15865</v>
      </c>
      <c r="R59" s="182" t="s">
        <v>1024</v>
      </c>
      <c r="S59" s="181" t="str">
        <f t="shared" ca="1" si="8"/>
        <v>PE</v>
      </c>
      <c r="T59" s="181" t="str">
        <f ca="1">IF(B59="","",IF(ISERROR(MATCH($J59,[4]SorP!$B$1:$B$6279,0)),"",INDIRECT("'SorP'!$A$"&amp;MATCH($S59&amp;$J59,[4]SorP!C:C,0))))</f>
        <v>PE-ICA</v>
      </c>
      <c r="U59" s="201"/>
      <c r="V59" s="226">
        <f>IF(C59="",NA(),IF(OR(C59="Smelter not listed",C59="Smelter not yet identified"),MATCH($B59&amp;$D59,'[4]Smelter Look-up'!$J:$J,0),MATCH($B59&amp;$C59,'[4]Smelter Look-up'!$J:$J,0)))</f>
        <v>470</v>
      </c>
      <c r="X59" s="227">
        <f t="shared" si="1"/>
        <v>0</v>
      </c>
      <c r="AB59" s="228" t="str">
        <f t="shared" si="2"/>
        <v>TinMinsur</v>
      </c>
    </row>
    <row r="60" spans="1:28" s="227" customFormat="1" ht="63.75">
      <c r="A60" s="181"/>
      <c r="B60" s="182" t="s">
        <v>1120</v>
      </c>
      <c r="C60" s="186" t="s">
        <v>13780</v>
      </c>
      <c r="D60" s="230"/>
      <c r="E60" s="182" t="s">
        <v>2413</v>
      </c>
      <c r="F60" s="182" t="s">
        <v>772</v>
      </c>
      <c r="G60" s="182" t="s">
        <v>13217</v>
      </c>
      <c r="H60" s="183">
        <v>0</v>
      </c>
      <c r="I60" s="184" t="s">
        <v>1755</v>
      </c>
      <c r="J60" s="184" t="s">
        <v>1755</v>
      </c>
      <c r="K60" s="224"/>
      <c r="L60" s="224"/>
      <c r="M60" s="224"/>
      <c r="N60" s="224"/>
      <c r="O60" s="224"/>
      <c r="P60" s="185"/>
      <c r="Q60" s="225" t="s">
        <v>15865</v>
      </c>
      <c r="R60" s="182" t="s">
        <v>13780</v>
      </c>
      <c r="S60" s="181" t="str">
        <f t="shared" ca="1" si="8"/>
        <v>BO</v>
      </c>
      <c r="T60" s="181" t="str">
        <f ca="1">IF(B60="","",IF(ISERROR(MATCH($J60,[4]SorP!$B$1:$B$6279,0)),"",INDIRECT("'SorP'!$A$"&amp;MATCH($S60&amp;$J60,[4]SorP!C:C,0))))</f>
        <v>BO-O</v>
      </c>
      <c r="U60" s="201"/>
      <c r="V60" s="226">
        <f>IF(C60="",NA(),IF(OR(C60="Smelter not listed",C60="Smelter not yet identified"),MATCH($B60&amp;$D60,'[4]Smelter Look-up'!$J:$J,0),MATCH($B60&amp;$C60,'[4]Smelter Look-up'!$J:$J,0)))</f>
        <v>482</v>
      </c>
      <c r="X60" s="227">
        <f t="shared" si="1"/>
        <v>0</v>
      </c>
      <c r="AB60" s="228" t="str">
        <f t="shared" si="2"/>
        <v>TinOperaciones Metalurgicas S.A.</v>
      </c>
    </row>
    <row r="61" spans="1:28" s="227" customFormat="1" ht="51">
      <c r="A61" s="181"/>
      <c r="B61" s="182" t="s">
        <v>1120</v>
      </c>
      <c r="C61" s="186" t="s">
        <v>12408</v>
      </c>
      <c r="D61" s="230"/>
      <c r="E61" s="182" t="s">
        <v>1086</v>
      </c>
      <c r="F61" s="182" t="s">
        <v>767</v>
      </c>
      <c r="G61" s="182" t="s">
        <v>13217</v>
      </c>
      <c r="H61" s="183">
        <v>0</v>
      </c>
      <c r="I61" s="184" t="s">
        <v>1769</v>
      </c>
      <c r="J61" s="184" t="s">
        <v>1666</v>
      </c>
      <c r="K61" s="224"/>
      <c r="L61" s="224"/>
      <c r="M61" s="224"/>
      <c r="N61" s="224"/>
      <c r="O61" s="224"/>
      <c r="P61" s="185"/>
      <c r="Q61" s="225" t="s">
        <v>15865</v>
      </c>
      <c r="R61" s="182" t="s">
        <v>12408</v>
      </c>
      <c r="S61" s="181" t="str">
        <f t="shared" ca="1" si="8"/>
        <v>BR</v>
      </c>
      <c r="T61" s="181" t="str">
        <f ca="1">IF(B61="","",IF(ISERROR(MATCH($J61,[4]SorP!$B$1:$B$6279,0)),"",INDIRECT("'SorP'!$A$"&amp;MATCH($S61&amp;$J61,[4]SorP!C:C,0))))</f>
        <v>BR-SP</v>
      </c>
      <c r="U61" s="201"/>
      <c r="V61" s="226">
        <f>IF(C61="",NA(),IF(OR(C61="Smelter not listed",C61="Smelter not yet identified"),MATCH($B61&amp;$D61,'[4]Smelter Look-up'!$J:$J,0),MATCH($B61&amp;$C61,'[4]Smelter Look-up'!$J:$J,0)))</f>
        <v>465</v>
      </c>
      <c r="X61" s="227">
        <f t="shared" si="1"/>
        <v>0</v>
      </c>
      <c r="AB61" s="228" t="str">
        <f t="shared" si="2"/>
        <v>TinMineracao Taboca S.A.</v>
      </c>
    </row>
    <row r="62" spans="1:28" s="227" customFormat="1" ht="63.75">
      <c r="A62" s="181"/>
      <c r="B62" s="182" t="s">
        <v>1120</v>
      </c>
      <c r="C62" s="186" t="s">
        <v>13827</v>
      </c>
      <c r="D62" s="230"/>
      <c r="E62" s="182" t="s">
        <v>1095</v>
      </c>
      <c r="F62" s="182" t="s">
        <v>13841</v>
      </c>
      <c r="G62" s="182" t="s">
        <v>13217</v>
      </c>
      <c r="H62" s="183">
        <v>0</v>
      </c>
      <c r="I62" s="184" t="s">
        <v>15113</v>
      </c>
      <c r="J62" s="184" t="s">
        <v>12830</v>
      </c>
      <c r="K62" s="224"/>
      <c r="L62" s="224"/>
      <c r="M62" s="224"/>
      <c r="N62" s="224"/>
      <c r="O62" s="224"/>
      <c r="P62" s="185"/>
      <c r="Q62" s="225" t="s">
        <v>15865</v>
      </c>
      <c r="R62" s="182" t="s">
        <v>13827</v>
      </c>
      <c r="S62" s="181" t="str">
        <f t="shared" ca="1" si="8"/>
        <v>ID</v>
      </c>
      <c r="T62" s="181" t="str">
        <f ca="1">IF(B62="","",IF(ISERROR(MATCH($J62,[4]SorP!$B$1:$B$6279,0)),"",INDIRECT("'SorP'!$A$"&amp;MATCH($S62&amp;$J62,[4]SorP!C:C,0))))</f>
        <v>ID-BB</v>
      </c>
      <c r="U62" s="201"/>
      <c r="V62" s="226">
        <f>IF(C62="",NA(),IF(OR(C62="Smelter not listed",C62="Smelter not yet identified"),MATCH($B62&amp;$D62,'[4]Smelter Look-up'!$J:$J,0),MATCH($B62&amp;$C62,'[4]Smelter Look-up'!$J:$J,0)))</f>
        <v>501</v>
      </c>
      <c r="X62" s="227">
        <f t="shared" si="1"/>
        <v>0</v>
      </c>
      <c r="AB62" s="228" t="str">
        <f t="shared" si="2"/>
        <v>TinPT Mitra Sukses Globalindo</v>
      </c>
    </row>
    <row r="63" spans="1:28" s="227" customFormat="1" ht="63.75">
      <c r="A63" s="181"/>
      <c r="B63" s="182" t="s">
        <v>1120</v>
      </c>
      <c r="C63" s="186" t="s">
        <v>15075</v>
      </c>
      <c r="D63" s="230"/>
      <c r="E63" s="182" t="s">
        <v>1095</v>
      </c>
      <c r="F63" s="182" t="s">
        <v>15076</v>
      </c>
      <c r="G63" s="182" t="s">
        <v>13217</v>
      </c>
      <c r="H63" s="183">
        <v>0</v>
      </c>
      <c r="I63" s="184" t="s">
        <v>15112</v>
      </c>
      <c r="J63" s="184" t="s">
        <v>12830</v>
      </c>
      <c r="K63" s="224"/>
      <c r="L63" s="224"/>
      <c r="M63" s="224"/>
      <c r="N63" s="224"/>
      <c r="O63" s="224"/>
      <c r="P63" s="185"/>
      <c r="Q63" s="225" t="s">
        <v>15865</v>
      </c>
      <c r="R63" s="182" t="s">
        <v>15075</v>
      </c>
      <c r="S63" s="181" t="str">
        <f t="shared" ca="1" si="8"/>
        <v>ID</v>
      </c>
      <c r="T63" s="181" t="str">
        <f ca="1">IF(B63="","",IF(ISERROR(MATCH($J63,[4]SorP!$B$1:$B$6279,0)),"",INDIRECT("'SorP'!$A$"&amp;MATCH($S63&amp;$J63,[4]SorP!C:C,0))))</f>
        <v>ID-BB</v>
      </c>
      <c r="U63" s="201"/>
      <c r="V63" s="226">
        <f>IF(C63="",NA(),IF(OR(C63="Smelter not listed",C63="Smelter not yet identified"),MATCH($B63&amp;$D63,'[4]Smelter Look-up'!$J:$J,0),MATCH($B63&amp;$C63,'[4]Smelter Look-up'!$J:$J,0)))</f>
        <v>490</v>
      </c>
      <c r="X63" s="227">
        <f t="shared" si="1"/>
        <v>0</v>
      </c>
      <c r="AB63" s="228" t="str">
        <f t="shared" si="2"/>
        <v>TinPT Babel Surya Alam Lestari</v>
      </c>
    </row>
    <row r="64" spans="1:28" s="227" customFormat="1" ht="63.75">
      <c r="A64" s="181"/>
      <c r="B64" s="182" t="s">
        <v>1120</v>
      </c>
      <c r="C64" s="186" t="s">
        <v>1391</v>
      </c>
      <c r="D64" s="230"/>
      <c r="E64" s="182" t="s">
        <v>1095</v>
      </c>
      <c r="F64" s="182" t="s">
        <v>1392</v>
      </c>
      <c r="G64" s="182" t="s">
        <v>13217</v>
      </c>
      <c r="H64" s="183">
        <v>0</v>
      </c>
      <c r="I64" s="184" t="s">
        <v>1753</v>
      </c>
      <c r="J64" s="184" t="s">
        <v>12830</v>
      </c>
      <c r="K64" s="224"/>
      <c r="L64" s="224"/>
      <c r="M64" s="224"/>
      <c r="N64" s="224"/>
      <c r="O64" s="224"/>
      <c r="P64" s="185"/>
      <c r="Q64" s="225" t="s">
        <v>15865</v>
      </c>
      <c r="R64" s="182" t="s">
        <v>1391</v>
      </c>
      <c r="S64" s="181" t="str">
        <f t="shared" ca="1" si="8"/>
        <v>ID</v>
      </c>
      <c r="T64" s="181" t="str">
        <f ca="1">IF(B64="","",IF(ISERROR(MATCH($J64,[4]SorP!$B$1:$B$6279,0)),"",INDIRECT("'SorP'!$A$"&amp;MATCH($S64&amp;$J64,[4]SorP!C:C,0))))</f>
        <v>ID-BB</v>
      </c>
      <c r="U64" s="201"/>
      <c r="V64" s="226">
        <f>IF(C64="",NA(),IF(OR(C64="Smelter not listed",C64="Smelter not yet identified"),MATCH($B64&amp;$D64,'[4]Smelter Look-up'!$J:$J,0),MATCH($B64&amp;$C64,'[4]Smelter Look-up'!$J:$J,0)))</f>
        <v>488</v>
      </c>
      <c r="X64" s="227">
        <f t="shared" si="1"/>
        <v>0</v>
      </c>
      <c r="AB64" s="228" t="str">
        <f t="shared" si="2"/>
        <v>TinPT ATD Makmur Mandiri Jaya</v>
      </c>
    </row>
    <row r="65" spans="1:28" s="227" customFormat="1" ht="51">
      <c r="A65" s="181"/>
      <c r="B65" s="182" t="s">
        <v>1120</v>
      </c>
      <c r="C65" s="186" t="s">
        <v>15081</v>
      </c>
      <c r="D65" s="230"/>
      <c r="E65" s="182" t="s">
        <v>1095</v>
      </c>
      <c r="F65" s="182" t="s">
        <v>15082</v>
      </c>
      <c r="G65" s="182" t="s">
        <v>13217</v>
      </c>
      <c r="H65" s="183">
        <v>0</v>
      </c>
      <c r="I65" s="184" t="s">
        <v>15115</v>
      </c>
      <c r="J65" s="184" t="s">
        <v>12830</v>
      </c>
      <c r="K65" s="224"/>
      <c r="L65" s="224"/>
      <c r="M65" s="224"/>
      <c r="N65" s="224"/>
      <c r="O65" s="224"/>
      <c r="P65" s="185"/>
      <c r="Q65" s="225" t="s">
        <v>15865</v>
      </c>
      <c r="R65" s="182" t="s">
        <v>15081</v>
      </c>
      <c r="S65" s="181" t="str">
        <f t="shared" ca="1" si="8"/>
        <v>ID</v>
      </c>
      <c r="T65" s="181" t="str">
        <f ca="1">IF(B65="","",IF(ISERROR(MATCH($J65,[4]SorP!$B$1:$B$6279,0)),"",INDIRECT("'SorP'!$A$"&amp;MATCH($S65&amp;$J65,[4]SorP!C:C,0))))</f>
        <v>ID-BB</v>
      </c>
      <c r="U65" s="201"/>
      <c r="V65" s="226">
        <f>IF(C65="",NA(),IF(OR(C65="Smelter not listed",C65="Smelter not yet identified"),MATCH($B65&amp;$D65,'[4]Smelter Look-up'!$J:$J,0),MATCH($B65&amp;$C65,'[4]Smelter Look-up'!$J:$J,0)))</f>
        <v>506</v>
      </c>
      <c r="X65" s="227">
        <f t="shared" si="1"/>
        <v>0</v>
      </c>
      <c r="AB65" s="228" t="str">
        <f t="shared" si="2"/>
        <v>TinPT Rajawali Rimba Perkasa</v>
      </c>
    </row>
    <row r="66" spans="1:28" s="227" customFormat="1" ht="63.75">
      <c r="A66" s="181"/>
      <c r="B66" s="182" t="s">
        <v>1120</v>
      </c>
      <c r="C66" s="186" t="s">
        <v>834</v>
      </c>
      <c r="D66" s="230"/>
      <c r="E66" s="182" t="s">
        <v>1095</v>
      </c>
      <c r="F66" s="182" t="s">
        <v>773</v>
      </c>
      <c r="G66" s="182" t="s">
        <v>13217</v>
      </c>
      <c r="H66" s="183">
        <v>0</v>
      </c>
      <c r="I66" s="184" t="s">
        <v>1753</v>
      </c>
      <c r="J66" s="184" t="s">
        <v>12830</v>
      </c>
      <c r="K66" s="224"/>
      <c r="L66" s="224"/>
      <c r="M66" s="224"/>
      <c r="N66" s="224"/>
      <c r="O66" s="224"/>
      <c r="P66" s="185"/>
      <c r="Q66" s="225" t="s">
        <v>15865</v>
      </c>
      <c r="R66" s="182" t="s">
        <v>834</v>
      </c>
      <c r="S66" s="181" t="str">
        <f t="shared" ca="1" si="8"/>
        <v>ID</v>
      </c>
      <c r="T66" s="181" t="str">
        <f ca="1">IF(B66="","",IF(ISERROR(MATCH($J66,[4]SorP!$B$1:$B$6279,0)),"",INDIRECT("'SorP'!$A$"&amp;MATCH($S66&amp;$J66,[4]SorP!C:C,0))))</f>
        <v>ID-BB</v>
      </c>
      <c r="U66" s="201"/>
      <c r="V66" s="226">
        <f>IF(C66="",NA(),IF(OR(C66="Smelter not listed",C66="Smelter not yet identified"),MATCH($B66&amp;$D66,'[4]Smelter Look-up'!$J:$J,0),MATCH($B66&amp;$C66,'[4]Smelter Look-up'!$J:$J,0)))</f>
        <v>487</v>
      </c>
      <c r="X66" s="227">
        <f t="shared" si="1"/>
        <v>0</v>
      </c>
      <c r="AB66" s="228" t="str">
        <f t="shared" si="2"/>
        <v>TinPT Artha Cipta Langgeng</v>
      </c>
    </row>
    <row r="67" spans="1:28" s="227" customFormat="1" ht="51">
      <c r="A67" s="181"/>
      <c r="B67" s="182" t="s">
        <v>1120</v>
      </c>
      <c r="C67" s="186" t="s">
        <v>15083</v>
      </c>
      <c r="D67" s="230"/>
      <c r="E67" s="182" t="s">
        <v>1095</v>
      </c>
      <c r="F67" s="182" t="s">
        <v>15084</v>
      </c>
      <c r="G67" s="182" t="s">
        <v>13217</v>
      </c>
      <c r="H67" s="183">
        <v>0</v>
      </c>
      <c r="I67" s="184" t="s">
        <v>15109</v>
      </c>
      <c r="J67" s="184" t="s">
        <v>12830</v>
      </c>
      <c r="K67" s="224"/>
      <c r="L67" s="224"/>
      <c r="M67" s="224"/>
      <c r="N67" s="224"/>
      <c r="O67" s="224"/>
      <c r="P67" s="185"/>
      <c r="Q67" s="225" t="s">
        <v>15865</v>
      </c>
      <c r="R67" s="182" t="s">
        <v>15083</v>
      </c>
      <c r="S67" s="181" t="str">
        <f t="shared" ca="1" si="8"/>
        <v>ID</v>
      </c>
      <c r="T67" s="181" t="str">
        <f ca="1">IF(B67="","",IF(ISERROR(MATCH($J67,[4]SorP!$B$1:$B$6279,0)),"",INDIRECT("'SorP'!$A$"&amp;MATCH($S67&amp;$J67,[4]SorP!C:C,0))))</f>
        <v>ID-BB</v>
      </c>
      <c r="U67" s="201"/>
      <c r="V67" s="226">
        <f>IF(C67="",NA(),IF(OR(C67="Smelter not listed",C67="Smelter not yet identified"),MATCH($B67&amp;$D67,'[4]Smelter Look-up'!$J:$J,0),MATCH($B67&amp;$C67,'[4]Smelter Look-up'!$J:$J,0)))</f>
        <v>509</v>
      </c>
      <c r="X67" s="227">
        <f t="shared" si="1"/>
        <v>0</v>
      </c>
      <c r="AB67" s="228" t="str">
        <f t="shared" si="2"/>
        <v>TinPT Stanindo Inti Perkasa</v>
      </c>
    </row>
    <row r="68" spans="1:28" s="227" customFormat="1" ht="38.25">
      <c r="A68" s="181"/>
      <c r="B68" s="182" t="s">
        <v>1120</v>
      </c>
      <c r="C68" s="186" t="s">
        <v>13826</v>
      </c>
      <c r="D68" s="230"/>
      <c r="E68" s="182" t="s">
        <v>13082</v>
      </c>
      <c r="F68" s="182" t="s">
        <v>13840</v>
      </c>
      <c r="G68" s="182" t="s">
        <v>13217</v>
      </c>
      <c r="H68" s="183">
        <v>0</v>
      </c>
      <c r="I68" s="184" t="s">
        <v>13851</v>
      </c>
      <c r="J68" s="184" t="s">
        <v>10043</v>
      </c>
      <c r="K68" s="224"/>
      <c r="L68" s="224"/>
      <c r="M68" s="224"/>
      <c r="N68" s="224"/>
      <c r="O68" s="224"/>
      <c r="P68" s="185"/>
      <c r="Q68" s="225" t="s">
        <v>15865</v>
      </c>
      <c r="R68" s="182" t="s">
        <v>13826</v>
      </c>
      <c r="S68" s="181" t="str">
        <f t="shared" ca="1" si="8"/>
        <v>RW</v>
      </c>
      <c r="T68" s="181" t="str">
        <f ca="1">IF(B68="","",IF(ISERROR(MATCH($J68,[4]SorP!$B$1:$B$6279,0)),"",INDIRECT("'SorP'!$A$"&amp;MATCH($S68&amp;$J68,[4]SorP!C:C,0))))</f>
        <v>RW-01</v>
      </c>
      <c r="U68" s="201"/>
      <c r="V68" s="226">
        <f>IF(C68="",NA(),IF(OR(C68="Smelter not listed",C68="Smelter not yet identified"),MATCH($B68&amp;$D68,'[4]Smelter Look-up'!$J:$J,0),MATCH($B68&amp;$C68,'[4]Smelter Look-up'!$J:$J,0)))</f>
        <v>456</v>
      </c>
      <c r="X68" s="227">
        <f t="shared" si="1"/>
        <v>0</v>
      </c>
      <c r="AB68" s="228" t="str">
        <f t="shared" si="2"/>
        <v>TinLuna Smelter, Ltd.</v>
      </c>
    </row>
    <row r="69" spans="1:28" s="227" customFormat="1" ht="51">
      <c r="A69" s="181"/>
      <c r="B69" s="182" t="s">
        <v>1120</v>
      </c>
      <c r="C69" s="186" t="s">
        <v>623</v>
      </c>
      <c r="D69" s="230"/>
      <c r="E69" s="182" t="s">
        <v>1095</v>
      </c>
      <c r="F69" s="182" t="s">
        <v>774</v>
      </c>
      <c r="G69" s="182" t="s">
        <v>13217</v>
      </c>
      <c r="H69" s="183">
        <v>0</v>
      </c>
      <c r="I69" s="184" t="s">
        <v>1753</v>
      </c>
      <c r="J69" s="184" t="s">
        <v>12830</v>
      </c>
      <c r="K69" s="224"/>
      <c r="L69" s="224"/>
      <c r="M69" s="224"/>
      <c r="N69" s="224"/>
      <c r="O69" s="224"/>
      <c r="P69" s="185"/>
      <c r="Q69" s="225" t="s">
        <v>15865</v>
      </c>
      <c r="R69" s="182" t="s">
        <v>623</v>
      </c>
      <c r="S69" s="181" t="str">
        <f t="shared" ca="1" si="8"/>
        <v>ID</v>
      </c>
      <c r="T69" s="181" t="str">
        <f ca="1">IF(B69="","",IF(ISERROR(MATCH($J69,[4]SorP!$B$1:$B$6279,0)),"",INDIRECT("'SorP'!$A$"&amp;MATCH($S69&amp;$J69,[4]SorP!C:C,0))))</f>
        <v>ID-BB</v>
      </c>
      <c r="U69" s="201"/>
      <c r="V69" s="226">
        <f>IF(C69="",NA(),IF(OR(C69="Smelter not listed",C69="Smelter not yet identified"),MATCH($B69&amp;$D69,'[4]Smelter Look-up'!$J:$J,0),MATCH($B69&amp;$C69,'[4]Smelter Look-up'!$J:$J,0)))</f>
        <v>500</v>
      </c>
      <c r="X69" s="227">
        <f t="shared" ref="X69:X80" si="9">IF(AND(C69="Smelter not listed",OR(LEN(D69)=0,LEN(E69)=0)),1,0)</f>
        <v>0</v>
      </c>
      <c r="AB69" s="228" t="str">
        <f t="shared" ref="AB69:AB80" si="10">B69&amp;C69</f>
        <v>TinPT Mitra Stania Prima</v>
      </c>
    </row>
    <row r="70" spans="1:28" s="227" customFormat="1" ht="63.75">
      <c r="A70" s="181"/>
      <c r="B70" s="182" t="s">
        <v>1120</v>
      </c>
      <c r="C70" s="186" t="s">
        <v>15456</v>
      </c>
      <c r="D70" s="230"/>
      <c r="E70" s="182" t="s">
        <v>1095</v>
      </c>
      <c r="F70" s="182" t="s">
        <v>15457</v>
      </c>
      <c r="G70" s="182" t="s">
        <v>13217</v>
      </c>
      <c r="H70" s="183">
        <v>0</v>
      </c>
      <c r="I70" s="184" t="s">
        <v>15109</v>
      </c>
      <c r="J70" s="184" t="s">
        <v>12830</v>
      </c>
      <c r="K70" s="224"/>
      <c r="L70" s="224"/>
      <c r="M70" s="224"/>
      <c r="N70" s="224"/>
      <c r="O70" s="224"/>
      <c r="P70" s="185"/>
      <c r="Q70" s="225" t="s">
        <v>15865</v>
      </c>
      <c r="R70" s="182" t="s">
        <v>15456</v>
      </c>
      <c r="S70" s="181" t="str">
        <f t="shared" ca="1" si="8"/>
        <v>ID</v>
      </c>
      <c r="T70" s="181" t="str">
        <f ca="1">IF(B70="","",IF(ISERROR(MATCH($J70,[4]SorP!$B$1:$B$6279,0)),"",INDIRECT("'SorP'!$A$"&amp;MATCH($S70&amp;$J70,[4]SorP!C:C,0))))</f>
        <v>ID-BB</v>
      </c>
      <c r="U70" s="201"/>
      <c r="V70" s="226">
        <f>IF(C70="",NA(),IF(OR(C70="Smelter not listed",C70="Smelter not yet identified"),MATCH($B70&amp;$D70,'[4]Smelter Look-up'!$J:$J,0),MATCH($B70&amp;$C70,'[4]Smelter Look-up'!$J:$J,0)))</f>
        <v>508</v>
      </c>
      <c r="X70" s="227">
        <f t="shared" si="9"/>
        <v>0</v>
      </c>
      <c r="AB70" s="228" t="str">
        <f t="shared" si="10"/>
        <v>TinPT Sariwiguna Binasentosa</v>
      </c>
    </row>
    <row r="71" spans="1:28" s="227" customFormat="1" ht="51">
      <c r="A71" s="181"/>
      <c r="B71" s="182" t="s">
        <v>1120</v>
      </c>
      <c r="C71" s="186" t="s">
        <v>15877</v>
      </c>
      <c r="D71" s="230"/>
      <c r="E71" s="182" t="s">
        <v>1095</v>
      </c>
      <c r="F71" s="182" t="s">
        <v>15458</v>
      </c>
      <c r="G71" s="182" t="s">
        <v>13217</v>
      </c>
      <c r="H71" s="183">
        <v>0</v>
      </c>
      <c r="I71" s="184" t="s">
        <v>15513</v>
      </c>
      <c r="J71" s="184" t="s">
        <v>12830</v>
      </c>
      <c r="K71" s="224"/>
      <c r="L71" s="224"/>
      <c r="M71" s="224"/>
      <c r="N71" s="224"/>
      <c r="O71" s="224"/>
      <c r="P71" s="185"/>
      <c r="Q71" s="225" t="s">
        <v>15865</v>
      </c>
      <c r="R71" s="182" t="s">
        <v>15877</v>
      </c>
      <c r="S71" s="181" t="str">
        <f t="shared" ca="1" si="8"/>
        <v>ID</v>
      </c>
      <c r="T71" s="181" t="str">
        <f ca="1">IF(B71="","",IF(ISERROR(MATCH($J71,[4]SorP!$B$1:$B$6279,0)),"",INDIRECT("'SorP'!$A$"&amp;MATCH($S71&amp;$J71,[4]SorP!C:C,0))))</f>
        <v>ID-BB</v>
      </c>
      <c r="U71" s="201"/>
      <c r="V71" s="226">
        <f>IF(C71="",NA(),IF(OR(C71="Smelter not listed",C71="Smelter not yet identified"),MATCH($B71&amp;$D71,'[4]Smelter Look-up'!$J:$J,0),MATCH($B71&amp;$C71,'[4]Smelter Look-up'!$J:$J,0)))</f>
        <v>510</v>
      </c>
      <c r="X71" s="227">
        <f t="shared" si="9"/>
        <v>0</v>
      </c>
      <c r="AB71" s="228" t="str">
        <f t="shared" si="10"/>
        <v>TinPT Sukses Inti Makmur</v>
      </c>
    </row>
    <row r="72" spans="1:28" s="227" customFormat="1" ht="76.5">
      <c r="A72" s="181"/>
      <c r="B72" s="182" t="s">
        <v>1120</v>
      </c>
      <c r="C72" s="186" t="s">
        <v>2151</v>
      </c>
      <c r="D72" s="230"/>
      <c r="E72" s="182" t="s">
        <v>1086</v>
      </c>
      <c r="F72" s="182" t="s">
        <v>136</v>
      </c>
      <c r="G72" s="182" t="s">
        <v>13217</v>
      </c>
      <c r="H72" s="183">
        <v>0</v>
      </c>
      <c r="I72" s="184" t="s">
        <v>1709</v>
      </c>
      <c r="J72" s="184" t="s">
        <v>1540</v>
      </c>
      <c r="K72" s="224"/>
      <c r="L72" s="224"/>
      <c r="M72" s="224"/>
      <c r="N72" s="224"/>
      <c r="O72" s="224"/>
      <c r="P72" s="185"/>
      <c r="Q72" s="225" t="s">
        <v>15865</v>
      </c>
      <c r="R72" s="182" t="s">
        <v>2151</v>
      </c>
      <c r="S72" s="181" t="str">
        <f t="shared" ca="1" si="8"/>
        <v>BR</v>
      </c>
      <c r="T72" s="181" t="str">
        <f ca="1">IF(B72="","",IF(ISERROR(MATCH($J72,[4]SorP!$B$1:$B$6279,0)),"",INDIRECT("'SorP'!$A$"&amp;MATCH($S72&amp;$J72,[4]SorP!C:C,0))))</f>
        <v>BR-MG</v>
      </c>
      <c r="U72" s="201"/>
      <c r="V72" s="226">
        <f>IF(C72="",NA(),IF(OR(C72="Smelter not listed",C72="Smelter not yet identified"),MATCH($B72&amp;$D72,'[4]Smelter Look-up'!$J:$J,0),MATCH($B72&amp;$C72,'[4]Smelter Look-up'!$J:$J,0)))</f>
        <v>457</v>
      </c>
      <c r="X72" s="227">
        <f t="shared" si="9"/>
        <v>0</v>
      </c>
      <c r="AB72" s="228" t="str">
        <f t="shared" si="10"/>
        <v>TinMagnu's Minerais Metais e Ligas Ltda.</v>
      </c>
    </row>
    <row r="73" spans="1:28" s="227" customFormat="1" ht="51">
      <c r="A73" s="181"/>
      <c r="B73" s="182" t="s">
        <v>1120</v>
      </c>
      <c r="C73" s="186" t="s">
        <v>15079</v>
      </c>
      <c r="D73" s="230"/>
      <c r="E73" s="182" t="s">
        <v>1095</v>
      </c>
      <c r="F73" s="182" t="s">
        <v>15080</v>
      </c>
      <c r="G73" s="182" t="s">
        <v>13217</v>
      </c>
      <c r="H73" s="183">
        <v>0</v>
      </c>
      <c r="I73" s="184" t="s">
        <v>15109</v>
      </c>
      <c r="J73" s="184" t="s">
        <v>12830</v>
      </c>
      <c r="K73" s="224"/>
      <c r="L73" s="224"/>
      <c r="M73" s="224"/>
      <c r="N73" s="224"/>
      <c r="O73" s="224"/>
      <c r="P73" s="185"/>
      <c r="Q73" s="225" t="s">
        <v>15865</v>
      </c>
      <c r="R73" s="182" t="s">
        <v>15079</v>
      </c>
      <c r="S73" s="181" t="str">
        <f t="shared" ref="S73" ca="1" si="11">IF(B73="","",IF(ISERROR(MATCH($E73,CL,0)),"Unknown",INDIRECT("'C'!$A$"&amp;MATCH($E73,CL,0)+1)))</f>
        <v>ID</v>
      </c>
      <c r="T73" s="181" t="str">
        <f ca="1">IF(B73="","",IF(ISERROR(MATCH($J73,[4]SorP!$B$1:$B$6279,0)),"",INDIRECT("'SorP'!$A$"&amp;MATCH($S73&amp;$J73,[4]SorP!C:C,0))))</f>
        <v>ID-BB</v>
      </c>
      <c r="U73" s="201"/>
      <c r="V73" s="226">
        <f>IF(C73="",NA(),IF(OR(C73="Smelter not listed",C73="Smelter not yet identified"),MATCH($B73&amp;$D73,'[4]Smelter Look-up'!$J:$J,0),MATCH($B73&amp;$C73,'[4]Smelter Look-up'!$J:$J,0)))</f>
        <v>504</v>
      </c>
      <c r="X73" s="227">
        <f t="shared" si="9"/>
        <v>0</v>
      </c>
      <c r="AB73" s="228" t="str">
        <f t="shared" si="10"/>
        <v>TinPT Prima Timah Utama</v>
      </c>
    </row>
    <row r="74" spans="1:28" s="227" customFormat="1" ht="19.899999999999999" customHeight="1">
      <c r="A74" s="262"/>
      <c r="B74" s="182" t="s">
        <v>1120</v>
      </c>
      <c r="C74" s="186" t="s">
        <v>15496</v>
      </c>
      <c r="D74" s="230"/>
      <c r="E74" s="182" t="s">
        <v>1085</v>
      </c>
      <c r="F74" s="182" t="s">
        <v>1801</v>
      </c>
      <c r="G74" s="182" t="s">
        <v>13217</v>
      </c>
      <c r="H74" s="183">
        <v>0</v>
      </c>
      <c r="I74" s="184" t="s">
        <v>1802</v>
      </c>
      <c r="J74" s="184" t="s">
        <v>3135</v>
      </c>
      <c r="K74" s="224"/>
      <c r="L74" s="224"/>
      <c r="M74" s="224"/>
      <c r="N74" s="224"/>
      <c r="O74" s="224"/>
      <c r="P74" s="185"/>
      <c r="Q74" s="225"/>
      <c r="R74" s="182" t="s">
        <v>15496</v>
      </c>
      <c r="S74" s="181" t="str">
        <f t="shared" ref="S74" ca="1" si="12">IF(B74="","",IF(ISERROR(MATCH($E74,CL,0)),"Unknown",INDIRECT("'C'!$A$"&amp;MATCH($E74,CL,0)+1)))</f>
        <v>BE</v>
      </c>
      <c r="T74" s="181" t="str">
        <f ca="1">IF(B74="","",IF(ISERROR(MATCH($J74,[5]SorP!$B$1:$B$6279,0)),"",INDIRECT("'SorP'!$A$"&amp;MATCH($S74&amp;$J74,[5]SorP!C:C,0))))</f>
        <v>BE-VAN</v>
      </c>
      <c r="U74" s="201"/>
      <c r="V74" s="226">
        <f>IF(C74="",NA(),IF(OR(C74="Smelter not listed",C74="Smelter not yet identified"),MATCH($B74&amp;$D74,'[5]Smelter Look-up'!$J:$J,0),MATCH($B74&amp;$C74,'[5]Smelter Look-up'!$J:$J,0)))</f>
        <v>394</v>
      </c>
      <c r="X74" s="227">
        <f t="shared" si="9"/>
        <v>0</v>
      </c>
      <c r="AB74" s="228" t="str">
        <f t="shared" si="10"/>
        <v>TinAurubis Beerse</v>
      </c>
    </row>
    <row r="75" spans="1:28" s="227" customFormat="1" ht="19.899999999999999" customHeight="1">
      <c r="A75" s="262"/>
      <c r="B75" s="182" t="s">
        <v>1120</v>
      </c>
      <c r="C75" s="186" t="s">
        <v>1783</v>
      </c>
      <c r="D75" s="230"/>
      <c r="E75" s="182" t="s">
        <v>878</v>
      </c>
      <c r="F75" s="182" t="s">
        <v>779</v>
      </c>
      <c r="G75" s="182" t="s">
        <v>13217</v>
      </c>
      <c r="H75" s="183">
        <v>0</v>
      </c>
      <c r="I75" s="184" t="s">
        <v>1781</v>
      </c>
      <c r="J75" s="184" t="s">
        <v>1782</v>
      </c>
      <c r="K75" s="224"/>
      <c r="L75" s="224"/>
      <c r="M75" s="224"/>
      <c r="N75" s="224"/>
      <c r="O75" s="224"/>
      <c r="P75" s="185"/>
      <c r="Q75" s="225"/>
      <c r="R75" s="182" t="s">
        <v>1021</v>
      </c>
      <c r="S75" s="181" t="str">
        <f t="shared" ref="S75:S79" ca="1" si="13">IF(B75="","",IF(ISERROR(MATCH($E75,CL,0)),"Unknown",INDIRECT("'C'!$A$"&amp;MATCH($E75,CL,0)+1)))</f>
        <v>TH</v>
      </c>
      <c r="T75" s="181" t="str">
        <f ca="1">IF(B75="","",IF(ISERROR(MATCH($J75,[5]SorP!$B$1:$B$6279,0)),"",INDIRECT("'SorP'!$A$"&amp;MATCH($S75&amp;$J75,[5]SorP!C:C,0))))</f>
        <v>TH-83</v>
      </c>
      <c r="U75" s="201"/>
      <c r="V75" s="226">
        <f>IF(C75="",NA(),IF(OR(C75="Smelter not listed",C75="Smelter not yet identified"),MATCH($B75&amp;$D75,'[5]Smelter Look-up'!$J:$J,0),MATCH($B75&amp;$C75,'[5]Smelter Look-up'!$J:$J,0)))</f>
        <v>525</v>
      </c>
      <c r="X75" s="227">
        <f t="shared" si="9"/>
        <v>0</v>
      </c>
      <c r="AB75" s="228" t="str">
        <f t="shared" si="10"/>
        <v>TinThailand Smelting &amp; Refining Co Ltd</v>
      </c>
    </row>
    <row r="76" spans="1:28" s="227" customFormat="1" ht="19.899999999999999" customHeight="1">
      <c r="A76" s="262"/>
      <c r="B76" s="182" t="s">
        <v>1120</v>
      </c>
      <c r="C76" s="186" t="s">
        <v>13779</v>
      </c>
      <c r="D76" s="230"/>
      <c r="E76" s="182" t="s">
        <v>1095</v>
      </c>
      <c r="F76" s="182" t="s">
        <v>794</v>
      </c>
      <c r="G76" s="182" t="s">
        <v>13217</v>
      </c>
      <c r="H76" s="183">
        <v>0</v>
      </c>
      <c r="I76" s="184" t="s">
        <v>1778</v>
      </c>
      <c r="J76" s="184" t="s">
        <v>6047</v>
      </c>
      <c r="K76" s="224"/>
      <c r="L76" s="224"/>
      <c r="M76" s="224"/>
      <c r="N76" s="224"/>
      <c r="O76" s="224"/>
      <c r="P76" s="185"/>
      <c r="Q76" s="225"/>
      <c r="R76" s="182" t="s">
        <v>13779</v>
      </c>
      <c r="S76" s="181" t="str">
        <f t="shared" ca="1" si="13"/>
        <v>ID</v>
      </c>
      <c r="T76" s="181" t="str">
        <f ca="1">IF(B76="","",IF(ISERROR(MATCH($J76,[5]SorP!$B$1:$B$6279,0)),"",INDIRECT("'SorP'!$A$"&amp;MATCH($S76&amp;$J76,[5]SorP!C:C,0))))</f>
        <v>ID-RI</v>
      </c>
      <c r="U76" s="201"/>
      <c r="V76" s="226">
        <f>IF(C76="",NA(),IF(OR(C76="Smelter not listed",C76="Smelter not yet identified"),MATCH($B76&amp;$D76,'[5]Smelter Look-up'!$J:$J,0),MATCH($B76&amp;$C76,'[5]Smelter Look-up'!$J:$J,0)))</f>
        <v>513</v>
      </c>
      <c r="X76" s="227">
        <f t="shared" si="9"/>
        <v>0</v>
      </c>
      <c r="AB76" s="228" t="str">
        <f t="shared" si="10"/>
        <v>TinPT Timah Tbk Kundur</v>
      </c>
    </row>
    <row r="77" spans="1:28" s="227" customFormat="1" ht="19.899999999999999" customHeight="1">
      <c r="A77" s="262"/>
      <c r="B77" s="182" t="s">
        <v>1120</v>
      </c>
      <c r="C77" s="186" t="s">
        <v>13778</v>
      </c>
      <c r="D77" s="230"/>
      <c r="E77" s="182" t="s">
        <v>1095</v>
      </c>
      <c r="F77" s="182" t="s">
        <v>776</v>
      </c>
      <c r="G77" s="182" t="s">
        <v>13217</v>
      </c>
      <c r="H77" s="183">
        <v>0</v>
      </c>
      <c r="I77" s="184" t="s">
        <v>1780</v>
      </c>
      <c r="J77" s="184" t="s">
        <v>12830</v>
      </c>
      <c r="K77" s="224"/>
      <c r="L77" s="224"/>
      <c r="M77" s="224"/>
      <c r="N77" s="224"/>
      <c r="O77" s="224"/>
      <c r="P77" s="185"/>
      <c r="Q77" s="225"/>
      <c r="R77" s="182" t="s">
        <v>13778</v>
      </c>
      <c r="S77" s="181" t="str">
        <f t="shared" ca="1" si="13"/>
        <v>ID</v>
      </c>
      <c r="T77" s="181" t="str">
        <f ca="1">IF(B77="","",IF(ISERROR(MATCH($J77,[5]SorP!$B$1:$B$6279,0)),"",INDIRECT("'SorP'!$A$"&amp;MATCH($S77&amp;$J77,[5]SorP!C:C,0))))</f>
        <v>ID-BB</v>
      </c>
      <c r="U77" s="201"/>
      <c r="V77" s="226">
        <f>IF(C77="",NA(),IF(OR(C77="Smelter not listed",C77="Smelter not yet identified"),MATCH($B77&amp;$D77,'[5]Smelter Look-up'!$J:$J,0),MATCH($B77&amp;$C77,'[5]Smelter Look-up'!$J:$J,0)))</f>
        <v>514</v>
      </c>
      <c r="X77" s="227">
        <f t="shared" si="9"/>
        <v>0</v>
      </c>
      <c r="AB77" s="228" t="str">
        <f t="shared" si="10"/>
        <v>TinPT Timah Tbk Mentok</v>
      </c>
    </row>
    <row r="78" spans="1:28" s="227" customFormat="1" ht="19.899999999999999" customHeight="1">
      <c r="A78" s="262"/>
      <c r="B78" s="182" t="s">
        <v>1120</v>
      </c>
      <c r="C78" s="186" t="s">
        <v>2141</v>
      </c>
      <c r="D78" s="230"/>
      <c r="E78" s="182" t="s">
        <v>1095</v>
      </c>
      <c r="F78" s="182" t="s">
        <v>775</v>
      </c>
      <c r="G78" s="182" t="s">
        <v>13217</v>
      </c>
      <c r="H78" s="183">
        <v>0</v>
      </c>
      <c r="I78" s="184" t="s">
        <v>1753</v>
      </c>
      <c r="J78" s="184" t="s">
        <v>12830</v>
      </c>
      <c r="K78" s="224"/>
      <c r="L78" s="224"/>
      <c r="M78" s="224"/>
      <c r="N78" s="224"/>
      <c r="O78" s="224"/>
      <c r="P78" s="185"/>
      <c r="Q78" s="225"/>
      <c r="R78" s="182" t="s">
        <v>2141</v>
      </c>
      <c r="S78" s="181" t="str">
        <f t="shared" ca="1" si="13"/>
        <v>ID</v>
      </c>
      <c r="T78" s="181" t="str">
        <f ca="1">IF(B78="","",IF(ISERROR(MATCH($J78,[5]SorP!$B$1:$B$6279,0)),"",INDIRECT("'SorP'!$A$"&amp;MATCH($S78&amp;$J78,[5]SorP!C:C,0))))</f>
        <v>ID-BB</v>
      </c>
      <c r="U78" s="201"/>
      <c r="V78" s="226">
        <f>IF(C78="",NA(),IF(OR(C78="Smelter not listed",C78="Smelter not yet identified"),MATCH($B78&amp;$D78,'[5]Smelter Look-up'!$J:$J,0),MATCH($B78&amp;$C78,'[5]Smelter Look-up'!$J:$J,0)))</f>
        <v>507</v>
      </c>
      <c r="X78" s="227">
        <f t="shared" si="9"/>
        <v>0</v>
      </c>
      <c r="AB78" s="228" t="str">
        <f t="shared" si="10"/>
        <v>TinPT Refined Bangka Tin</v>
      </c>
    </row>
    <row r="79" spans="1:28" s="227" customFormat="1" ht="19.899999999999999" customHeight="1">
      <c r="A79" s="262"/>
      <c r="B79" s="182" t="s">
        <v>1120</v>
      </c>
      <c r="C79" s="186" t="s">
        <v>12914</v>
      </c>
      <c r="D79" s="230"/>
      <c r="E79" s="182" t="s">
        <v>1095</v>
      </c>
      <c r="F79" s="182" t="s">
        <v>14001</v>
      </c>
      <c r="G79" s="182" t="s">
        <v>13217</v>
      </c>
      <c r="H79" s="183">
        <v>0</v>
      </c>
      <c r="I79" s="184" t="s">
        <v>15113</v>
      </c>
      <c r="J79" s="184" t="s">
        <v>12830</v>
      </c>
      <c r="K79" s="224"/>
      <c r="L79" s="224"/>
      <c r="M79" s="224"/>
      <c r="N79" s="224"/>
      <c r="O79" s="224"/>
      <c r="P79" s="185"/>
      <c r="Q79" s="225"/>
      <c r="R79" s="182" t="s">
        <v>12914</v>
      </c>
      <c r="S79" s="181" t="str">
        <f t="shared" ca="1" si="13"/>
        <v>ID</v>
      </c>
      <c r="T79" s="181" t="str">
        <f ca="1">IF(B79="","",IF(ISERROR(MATCH($J79,[5]SorP!$B$1:$B$6279,0)),"",INDIRECT("'SorP'!$A$"&amp;MATCH($S79&amp;$J79,[5]SorP!C:C,0))))</f>
        <v>ID-BB</v>
      </c>
      <c r="U79" s="201"/>
      <c r="V79" s="226">
        <f>IF(C79="",NA(),IF(OR(C79="Smelter not listed",C79="Smelter not yet identified"),MATCH($B79&amp;$D79,'[5]Smelter Look-up'!$J:$J,0),MATCH($B79&amp;$C79,'[5]Smelter Look-up'!$J:$J,0)))</f>
        <v>492</v>
      </c>
      <c r="X79" s="227">
        <f t="shared" si="9"/>
        <v>0</v>
      </c>
      <c r="AB79" s="228" t="str">
        <f t="shared" si="10"/>
        <v>TinPT Bangka Serumpun</v>
      </c>
    </row>
    <row r="80" spans="1:28" s="227" customFormat="1" ht="19.899999999999999" customHeight="1">
      <c r="A80" s="262"/>
      <c r="B80" s="182" t="s">
        <v>1120</v>
      </c>
      <c r="C80" s="186" t="s">
        <v>1783</v>
      </c>
      <c r="D80" s="230"/>
      <c r="E80" s="182" t="s">
        <v>878</v>
      </c>
      <c r="F80" s="182" t="s">
        <v>779</v>
      </c>
      <c r="G80" s="182" t="s">
        <v>13217</v>
      </c>
      <c r="H80" s="183">
        <v>0</v>
      </c>
      <c r="I80" s="184" t="s">
        <v>1781</v>
      </c>
      <c r="J80" s="184" t="s">
        <v>1782</v>
      </c>
      <c r="K80" s="224"/>
      <c r="L80" s="224"/>
      <c r="M80" s="224"/>
      <c r="N80" s="224"/>
      <c r="O80" s="224"/>
      <c r="P80" s="185"/>
      <c r="Q80" s="225"/>
      <c r="R80" s="182" t="s">
        <v>1021</v>
      </c>
      <c r="S80" s="181" t="str">
        <f ca="1">IF(B80="","",IF(ISERROR(MATCH($E80,CL,0)),"Unknown",INDIRECT("'C'!$A$"&amp;MATCH($E80,CL,0)+1)))</f>
        <v>TH</v>
      </c>
      <c r="T80" s="181" t="str">
        <f ca="1">IF(B80="","",IF(ISERROR(MATCH($J80,[6]SorP!$B$1:$B$6279,0)),"",INDIRECT("'SorP'!$A$"&amp;MATCH($S80&amp;$J80,[6]SorP!C:C,0))))</f>
        <v>TH-83</v>
      </c>
      <c r="U80" s="201"/>
      <c r="V80" s="226">
        <f>IF(C80="",NA(),IF(OR(C80="Smelter not listed",C80="Smelter not yet identified"),MATCH($B80&amp;$D80,'[6]Smelter Look-up'!$J:$J,0),MATCH($B80&amp;$C80,'[6]Smelter Look-up'!$J:$J,0)))</f>
        <v>525</v>
      </c>
      <c r="X80" s="227">
        <f t="shared" si="9"/>
        <v>0</v>
      </c>
      <c r="AB80" s="228" t="str">
        <f t="shared" si="10"/>
        <v>TinThailand Smelting &amp; Refining Co Ltd</v>
      </c>
    </row>
    <row r="81" spans="1:28" s="227" customFormat="1" ht="19.899999999999999" customHeight="1">
      <c r="A81" s="262"/>
      <c r="B81" s="182" t="s">
        <v>1120</v>
      </c>
      <c r="C81" s="186" t="s">
        <v>805</v>
      </c>
      <c r="D81" s="230"/>
      <c r="E81" s="182" t="s">
        <v>872</v>
      </c>
      <c r="F81" s="182" t="s">
        <v>761</v>
      </c>
      <c r="G81" s="182" t="s">
        <v>13217</v>
      </c>
      <c r="H81" s="183">
        <v>0</v>
      </c>
      <c r="I81" s="184" t="s">
        <v>1757</v>
      </c>
      <c r="J81" s="184" t="s">
        <v>9479</v>
      </c>
      <c r="K81" s="224"/>
      <c r="L81" s="224"/>
      <c r="M81" s="224"/>
      <c r="N81" s="224"/>
      <c r="O81" s="224"/>
      <c r="P81" s="185"/>
      <c r="Q81" s="225"/>
      <c r="R81" s="182" t="s">
        <v>805</v>
      </c>
      <c r="S81" s="181" t="str">
        <f ca="1">IF(B81="","",IF(ISERROR(MATCH($E81,CL,0)),"Unknown",INDIRECT("'C'!$A$"&amp;MATCH($E81,CL,0)+1)))</f>
        <v>PL</v>
      </c>
      <c r="T81" s="181" t="str">
        <f ca="1">IF(B81="","",IF(ISERROR(MATCH($J81,[6]SorP!$B$1:$B$6279,0)),"",INDIRECT("'SorP'!$A$"&amp;MATCH($S81&amp;$J81,[6]SorP!C:C,0))))</f>
        <v>PL-18</v>
      </c>
      <c r="U81" s="201"/>
      <c r="V81" s="226">
        <f>IF(C81="",NA(),IF(OR(C81="Smelter not listed",C81="Smelter not yet identified"),MATCH($B81&amp;$D81,'[6]Smelter Look-up'!$J:$J,0),MATCH($B81&amp;$C81,'[6]Smelter Look-up'!$J:$J,0)))</f>
        <v>430</v>
      </c>
      <c r="X81" s="227">
        <f>IF(AND(C81="Smelter not listed",OR(LEN(D81)=0,LEN(E81)=0)),1,0)</f>
        <v>0</v>
      </c>
      <c r="AB81" s="228" t="str">
        <f>B81&amp;C81</f>
        <v>TinFenix Metals</v>
      </c>
    </row>
    <row r="82" spans="1:28" s="227" customFormat="1" ht="19.899999999999999" customHeight="1">
      <c r="A82" s="262"/>
      <c r="B82" s="182" t="s">
        <v>1120</v>
      </c>
      <c r="C82" s="186" t="s">
        <v>13779</v>
      </c>
      <c r="D82" s="230"/>
      <c r="E82" s="182" t="s">
        <v>1095</v>
      </c>
      <c r="F82" s="182" t="s">
        <v>794</v>
      </c>
      <c r="G82" s="182" t="s">
        <v>13217</v>
      </c>
      <c r="H82" s="183">
        <v>0</v>
      </c>
      <c r="I82" s="184" t="s">
        <v>1778</v>
      </c>
      <c r="J82" s="184" t="s">
        <v>6047</v>
      </c>
      <c r="K82" s="224"/>
      <c r="L82" s="224"/>
      <c r="M82" s="224"/>
      <c r="N82" s="224"/>
      <c r="O82" s="224"/>
      <c r="P82" s="185"/>
      <c r="Q82" s="225"/>
      <c r="R82" s="182" t="s">
        <v>13779</v>
      </c>
      <c r="S82" s="181" t="str">
        <f ca="1">IF(B82="","",IF(ISERROR(MATCH($E82,CL,0)),"Unknown",INDIRECT("'C'!$A$"&amp;MATCH($E82,CL,0)+1)))</f>
        <v>ID</v>
      </c>
      <c r="T82" s="181" t="str">
        <f ca="1">IF(B82="","",IF(ISERROR(MATCH($J82,[6]SorP!$B$1:$B$6279,0)),"",INDIRECT("'SorP'!$A$"&amp;MATCH($S82&amp;$J82,[6]SorP!C:C,0))))</f>
        <v>ID-RI</v>
      </c>
      <c r="U82" s="201"/>
      <c r="V82" s="226">
        <f>IF(C82="",NA(),IF(OR(C82="Smelter not listed",C82="Smelter not yet identified"),MATCH($B82&amp;$D82,'[6]Smelter Look-up'!$J:$J,0),MATCH($B82&amp;$C82,'[6]Smelter Look-up'!$J:$J,0)))</f>
        <v>513</v>
      </c>
      <c r="X82" s="227">
        <f>IF(AND(C82="Smelter not listed",OR(LEN(D82)=0,LEN(E82)=0)),1,0)</f>
        <v>0</v>
      </c>
      <c r="AB82" s="228" t="str">
        <f>B82&amp;C82</f>
        <v>TinPT Timah Tbk Kundur</v>
      </c>
    </row>
    <row r="83" spans="1:28" s="227" customFormat="1" ht="19.899999999999999" customHeight="1">
      <c r="A83" s="262"/>
      <c r="B83" s="182" t="s">
        <v>1120</v>
      </c>
      <c r="C83" s="186" t="s">
        <v>13778</v>
      </c>
      <c r="D83" s="230"/>
      <c r="E83" s="182" t="s">
        <v>1095</v>
      </c>
      <c r="F83" s="182" t="s">
        <v>776</v>
      </c>
      <c r="G83" s="182" t="s">
        <v>13217</v>
      </c>
      <c r="H83" s="183">
        <v>0</v>
      </c>
      <c r="I83" s="184" t="s">
        <v>1780</v>
      </c>
      <c r="J83" s="184" t="s">
        <v>12830</v>
      </c>
      <c r="K83" s="224"/>
      <c r="L83" s="224"/>
      <c r="M83" s="224"/>
      <c r="N83" s="224"/>
      <c r="O83" s="224"/>
      <c r="P83" s="185"/>
      <c r="Q83" s="225"/>
      <c r="R83" s="182" t="s">
        <v>13778</v>
      </c>
      <c r="S83" s="181" t="str">
        <f ca="1">IF(B83="","",IF(ISERROR(MATCH($E83,CL,0)),"Unknown",INDIRECT("'C'!$A$"&amp;MATCH($E83,CL,0)+1)))</f>
        <v>ID</v>
      </c>
      <c r="T83" s="181" t="str">
        <f ca="1">IF(B83="","",IF(ISERROR(MATCH($J83,[6]SorP!$B$1:$B$6279,0)),"",INDIRECT("'SorP'!$A$"&amp;MATCH($S83&amp;$J83,[6]SorP!C:C,0))))</f>
        <v>ID-BB</v>
      </c>
      <c r="U83" s="201"/>
      <c r="V83" s="226">
        <f>IF(C83="",NA(),IF(OR(C83="Smelter not listed",C83="Smelter not yet identified"),MATCH($B83&amp;$D83,'[6]Smelter Look-up'!$J:$J,0),MATCH($B83&amp;$C83,'[6]Smelter Look-up'!$J:$J,0)))</f>
        <v>514</v>
      </c>
      <c r="X83" s="227">
        <f>IF(AND(C83="Smelter not listed",OR(LEN(D83)=0,LEN(E83)=0)),1,0)</f>
        <v>0</v>
      </c>
      <c r="AB83" s="228" t="str">
        <f>B83&amp;C83</f>
        <v>TinPT Timah Tbk Mentok</v>
      </c>
    </row>
    <row r="84" spans="1:28" s="227" customFormat="1" ht="19.899999999999999" customHeight="1">
      <c r="A84" s="262"/>
      <c r="B84" s="182" t="s">
        <v>1119</v>
      </c>
      <c r="C84" s="186" t="s">
        <v>2505</v>
      </c>
      <c r="D84" s="230"/>
      <c r="E84" s="182" t="s">
        <v>1085</v>
      </c>
      <c r="F84" s="182" t="s">
        <v>732</v>
      </c>
      <c r="G84" s="182" t="s">
        <v>13217</v>
      </c>
      <c r="H84" s="183">
        <v>0</v>
      </c>
      <c r="I84" s="184" t="s">
        <v>1667</v>
      </c>
      <c r="J84" s="184" t="s">
        <v>3135</v>
      </c>
      <c r="K84" s="224"/>
      <c r="L84" s="224"/>
      <c r="M84" s="224"/>
      <c r="N84" s="224"/>
      <c r="O84" s="224"/>
      <c r="P84" s="185"/>
      <c r="Q84" s="225"/>
      <c r="R84" s="182" t="s">
        <v>2314</v>
      </c>
      <c r="S84" s="181" t="str">
        <f t="shared" ref="S84" ca="1" si="14">IF(B84="","",IF(ISERROR(MATCH($E84,CL,0)),"Unknown",INDIRECT("'C'!$A$"&amp;MATCH($E84,CL,0)+1)))</f>
        <v>BE</v>
      </c>
      <c r="T84" s="181" t="str">
        <f ca="1">IF(B84="","",IF(ISERROR(MATCH($J84,[6]SorP!$B$1:$B$6279,0)),"",INDIRECT("'SorP'!$A$"&amp;MATCH($S84&amp;$J84,[6]SorP!C:C,0))))</f>
        <v>BE-VAN</v>
      </c>
      <c r="U84" s="201"/>
      <c r="V84" s="226">
        <f>IF(C84="",NA(),IF(OR(C84="Smelter not listed",C84="Smelter not yet identified"),MATCH($B84&amp;$D84,'[6]Smelter Look-up'!$J:$J,0),MATCH($B84&amp;$C84,'[6]Smelter Look-up'!$J:$J,0)))</f>
        <v>291</v>
      </c>
      <c r="X84" s="227">
        <f t="shared" ref="X84:X137" si="15">IF(AND(C84="Smelter not listed",OR(LEN(D84)=0,LEN(E84)=0)),1,0)</f>
        <v>0</v>
      </c>
      <c r="AB84" s="228" t="str">
        <f t="shared" ref="AB84:AB137" si="16">B84&amp;C84</f>
        <v>GoldUmicore Precious Metals Refining Hoboken</v>
      </c>
    </row>
    <row r="85" spans="1:28" s="227" customFormat="1" ht="63.75">
      <c r="A85" s="181"/>
      <c r="B85" s="182" t="s">
        <v>1119</v>
      </c>
      <c r="C85" s="186" t="s">
        <v>2288</v>
      </c>
      <c r="D85" s="230"/>
      <c r="E85" s="182" t="s">
        <v>1088</v>
      </c>
      <c r="F85" s="182" t="s">
        <v>701</v>
      </c>
      <c r="G85" s="182" t="s">
        <v>13217</v>
      </c>
      <c r="H85" s="183"/>
      <c r="I85" s="184" t="s">
        <v>1614</v>
      </c>
      <c r="J85" s="184" t="s">
        <v>1615</v>
      </c>
      <c r="K85" s="224"/>
      <c r="L85" s="224"/>
      <c r="M85" s="224"/>
      <c r="N85" s="224"/>
      <c r="O85" s="224"/>
      <c r="P85" s="185"/>
      <c r="Q85" s="225"/>
      <c r="R85" s="182"/>
      <c r="S85" s="181"/>
      <c r="T85" s="181"/>
      <c r="U85" s="201"/>
      <c r="V85" s="226"/>
      <c r="X85" s="227">
        <f t="shared" si="15"/>
        <v>0</v>
      </c>
      <c r="AB85" s="228" t="str">
        <f t="shared" si="16"/>
        <v>GoldMetalor Technologies S.A.</v>
      </c>
    </row>
    <row r="86" spans="1:28" s="227" customFormat="1" ht="102">
      <c r="A86" s="181"/>
      <c r="B86" s="182" t="s">
        <v>1119</v>
      </c>
      <c r="C86" s="186" t="s">
        <v>2314</v>
      </c>
      <c r="D86" s="230"/>
      <c r="E86" s="182" t="s">
        <v>1085</v>
      </c>
      <c r="F86" s="182" t="s">
        <v>732</v>
      </c>
      <c r="G86" s="182" t="s">
        <v>13217</v>
      </c>
      <c r="H86" s="183"/>
      <c r="I86" s="184" t="s">
        <v>1667</v>
      </c>
      <c r="J86" s="184" t="s">
        <v>3135</v>
      </c>
      <c r="K86" s="224"/>
      <c r="L86" s="224"/>
      <c r="M86" s="224"/>
      <c r="N86" s="224"/>
      <c r="O86" s="224"/>
      <c r="P86" s="185"/>
      <c r="Q86" s="225"/>
      <c r="R86" s="182"/>
      <c r="S86" s="181"/>
      <c r="T86" s="181"/>
      <c r="U86" s="201"/>
      <c r="V86" s="226"/>
      <c r="X86" s="227">
        <f t="shared" si="15"/>
        <v>0</v>
      </c>
      <c r="AB86" s="228" t="str">
        <f t="shared" si="16"/>
        <v>GoldUmicore S.A. Business Unit Precious Metals Refining</v>
      </c>
    </row>
    <row r="87" spans="1:28" s="227" customFormat="1" ht="89.25">
      <c r="A87" s="181"/>
      <c r="B87" s="182" t="s">
        <v>1120</v>
      </c>
      <c r="C87" s="186" t="s">
        <v>811</v>
      </c>
      <c r="D87" s="230"/>
      <c r="E87" s="182" t="s">
        <v>1105</v>
      </c>
      <c r="F87" s="182" t="s">
        <v>766</v>
      </c>
      <c r="G87" s="182" t="s">
        <v>13217</v>
      </c>
      <c r="H87" s="183"/>
      <c r="I87" s="184" t="s">
        <v>1766</v>
      </c>
      <c r="J87" s="184" t="s">
        <v>8666</v>
      </c>
      <c r="K87" s="224"/>
      <c r="L87" s="224"/>
      <c r="M87" s="224"/>
      <c r="N87" s="224"/>
      <c r="O87" s="224"/>
      <c r="P87" s="185"/>
      <c r="Q87" s="225"/>
      <c r="R87" s="182"/>
      <c r="S87" s="181"/>
      <c r="T87" s="181"/>
      <c r="U87" s="201"/>
      <c r="V87" s="226"/>
      <c r="X87" s="227">
        <f t="shared" si="15"/>
        <v>0</v>
      </c>
      <c r="AB87" s="228" t="str">
        <f t="shared" si="16"/>
        <v>TinMalaysia Smelting Corporation (MSC)</v>
      </c>
    </row>
    <row r="88" spans="1:28" s="227" customFormat="1" ht="25.5">
      <c r="A88" s="181" t="s">
        <v>768</v>
      </c>
      <c r="B88" s="182" t="s">
        <v>1120</v>
      </c>
      <c r="C88" s="186" t="s">
        <v>1024</v>
      </c>
      <c r="D88" s="230"/>
      <c r="E88" s="182" t="s">
        <v>870</v>
      </c>
      <c r="F88" s="182" t="s">
        <v>768</v>
      </c>
      <c r="G88" s="182" t="s">
        <v>13217</v>
      </c>
      <c r="H88" s="183">
        <v>0</v>
      </c>
      <c r="I88" s="184" t="s">
        <v>1771</v>
      </c>
      <c r="J88" s="184" t="s">
        <v>9093</v>
      </c>
      <c r="K88" s="224"/>
      <c r="L88" s="224"/>
      <c r="M88" s="224"/>
      <c r="N88" s="224"/>
      <c r="O88" s="224"/>
      <c r="P88" s="185"/>
      <c r="Q88" s="225"/>
      <c r="R88" s="182" t="s">
        <v>1024</v>
      </c>
      <c r="S88" s="181" t="str">
        <f t="shared" ref="S88:S102" ca="1" si="17">IF(B88="","",IF(ISERROR(MATCH($E88,CL,0)),"Unknown",INDIRECT("'C'!$A$"&amp;MATCH($E88,CL,0)+1)))</f>
        <v>PE</v>
      </c>
      <c r="T88" s="181" t="str">
        <f ca="1">IF(B88="","",IF(ISERROR(MATCH($J88,[7]SorP!$B$1:$B$6279,0)),"",INDIRECT("'SorP'!$A$"&amp;MATCH($S88&amp;$J88,[7]SorP!C:C,0))))</f>
        <v>PE-ICA</v>
      </c>
      <c r="U88" s="201"/>
      <c r="V88" s="226">
        <f>IF(C88="",NA(),IF(OR(C88="Smelter not listed",C88="Smelter not yet identified"),MATCH($B88&amp;$D88,'[7]Smelter Look-up'!$J:$J,0),MATCH($B88&amp;$C88,'[7]Smelter Look-up'!$J:$J,0)))</f>
        <v>470</v>
      </c>
      <c r="X88" s="227">
        <f t="shared" si="15"/>
        <v>0</v>
      </c>
      <c r="AB88" s="228" t="str">
        <f t="shared" si="16"/>
        <v>TinMinsur</v>
      </c>
    </row>
    <row r="89" spans="1:28" s="227" customFormat="1" ht="63.75">
      <c r="A89" s="181" t="s">
        <v>772</v>
      </c>
      <c r="B89" s="182" t="s">
        <v>1120</v>
      </c>
      <c r="C89" s="186" t="s">
        <v>13780</v>
      </c>
      <c r="D89" s="230"/>
      <c r="E89" s="182" t="s">
        <v>2413</v>
      </c>
      <c r="F89" s="182" t="s">
        <v>772</v>
      </c>
      <c r="G89" s="182" t="s">
        <v>13217</v>
      </c>
      <c r="H89" s="183">
        <v>0</v>
      </c>
      <c r="I89" s="184" t="s">
        <v>1755</v>
      </c>
      <c r="J89" s="184" t="s">
        <v>1755</v>
      </c>
      <c r="K89" s="224"/>
      <c r="L89" s="224"/>
      <c r="M89" s="224"/>
      <c r="N89" s="224"/>
      <c r="O89" s="224"/>
      <c r="P89" s="185"/>
      <c r="Q89" s="225"/>
      <c r="R89" s="182" t="s">
        <v>13780</v>
      </c>
      <c r="S89" s="181" t="str">
        <f t="shared" ca="1" si="17"/>
        <v>BO</v>
      </c>
      <c r="T89" s="181" t="str">
        <f ca="1">IF(B89="","",IF(ISERROR(MATCH($J89,[7]SorP!$B$1:$B$6279,0)),"",INDIRECT("'SorP'!$A$"&amp;MATCH($S89&amp;$J89,[7]SorP!C:C,0))))</f>
        <v>BO-O</v>
      </c>
      <c r="U89" s="201"/>
      <c r="V89" s="226">
        <f>IF(C89="",NA(),IF(OR(C89="Smelter not listed",C89="Smelter not yet identified"),MATCH($B89&amp;$D89,'[7]Smelter Look-up'!$J:$J,0),MATCH($B89&amp;$C89,'[7]Smelter Look-up'!$J:$J,0)))</f>
        <v>482</v>
      </c>
      <c r="X89" s="227">
        <f t="shared" si="15"/>
        <v>0</v>
      </c>
      <c r="AB89" s="228" t="str">
        <f t="shared" si="16"/>
        <v>TinOperaciones Metalurgicas S.A.</v>
      </c>
    </row>
    <row r="90" spans="1:28" s="227" customFormat="1" ht="89.25">
      <c r="A90" s="181" t="s">
        <v>780</v>
      </c>
      <c r="B90" s="182" t="s">
        <v>1120</v>
      </c>
      <c r="C90" s="186" t="s">
        <v>2515</v>
      </c>
      <c r="D90" s="230"/>
      <c r="E90" s="182" t="s">
        <v>1086</v>
      </c>
      <c r="F90" s="182" t="s">
        <v>780</v>
      </c>
      <c r="G90" s="182" t="s">
        <v>13217</v>
      </c>
      <c r="H90" s="183">
        <v>0</v>
      </c>
      <c r="I90" s="184" t="s">
        <v>1752</v>
      </c>
      <c r="J90" s="184" t="s">
        <v>1756</v>
      </c>
      <c r="K90" s="224"/>
      <c r="L90" s="224"/>
      <c r="M90" s="224"/>
      <c r="N90" s="224"/>
      <c r="O90" s="224"/>
      <c r="P90" s="185"/>
      <c r="Q90" s="225"/>
      <c r="R90" s="182" t="s">
        <v>2515</v>
      </c>
      <c r="S90" s="181" t="str">
        <f t="shared" ca="1" si="17"/>
        <v>BR</v>
      </c>
      <c r="T90" s="181" t="str">
        <f ca="1">IF(B90="","",IF(ISERROR(MATCH($J90,[7]SorP!$B$1:$B$6279,0)),"",INDIRECT("'SorP'!$A$"&amp;MATCH($S90&amp;$J90,[7]SorP!C:C,0))))</f>
        <v>BR-RO</v>
      </c>
      <c r="U90" s="201"/>
      <c r="V90" s="226">
        <f>IF(C90="",NA(),IF(OR(C90="Smelter not listed",C90="Smelter not yet identified"),MATCH($B90&amp;$D90,'[7]Smelter Look-up'!$J:$J,0),MATCH($B90&amp;$C90,'[7]Smelter Look-up'!$J:$J,0)))</f>
        <v>535</v>
      </c>
      <c r="X90" s="227">
        <f t="shared" si="15"/>
        <v>0</v>
      </c>
      <c r="AB90" s="228" t="str">
        <f t="shared" si="16"/>
        <v>TinWhite Solder Metalurgia e Mineracao Ltda.</v>
      </c>
    </row>
    <row r="91" spans="1:28" s="227" customFormat="1" ht="51">
      <c r="A91" s="181" t="s">
        <v>15080</v>
      </c>
      <c r="B91" s="182" t="s">
        <v>1120</v>
      </c>
      <c r="C91" s="186" t="s">
        <v>15079</v>
      </c>
      <c r="D91" s="230"/>
      <c r="E91" s="182" t="s">
        <v>1095</v>
      </c>
      <c r="F91" s="182" t="s">
        <v>15080</v>
      </c>
      <c r="G91" s="182" t="s">
        <v>13217</v>
      </c>
      <c r="H91" s="183">
        <v>0</v>
      </c>
      <c r="I91" s="184" t="s">
        <v>15109</v>
      </c>
      <c r="J91" s="184" t="s">
        <v>12830</v>
      </c>
      <c r="K91" s="224"/>
      <c r="L91" s="224"/>
      <c r="M91" s="224"/>
      <c r="N91" s="224"/>
      <c r="O91" s="224"/>
      <c r="P91" s="185"/>
      <c r="Q91" s="225"/>
      <c r="R91" s="182" t="s">
        <v>15079</v>
      </c>
      <c r="S91" s="181" t="str">
        <f t="shared" ca="1" si="17"/>
        <v>ID</v>
      </c>
      <c r="T91" s="181" t="str">
        <f ca="1">IF(B91="","",IF(ISERROR(MATCH($J91,[7]SorP!$B$1:$B$6279,0)),"",INDIRECT("'SorP'!$A$"&amp;MATCH($S91&amp;$J91,[7]SorP!C:C,0))))</f>
        <v>ID-BB</v>
      </c>
      <c r="U91" s="201"/>
      <c r="V91" s="226">
        <f>IF(C91="",NA(),IF(OR(C91="Smelter not listed",C91="Smelter not yet identified"),MATCH($B91&amp;$D91,'[7]Smelter Look-up'!$J:$J,0),MATCH($B91&amp;$C91,'[7]Smelter Look-up'!$J:$J,0)))</f>
        <v>504</v>
      </c>
      <c r="X91" s="227">
        <f t="shared" si="15"/>
        <v>0</v>
      </c>
      <c r="AB91" s="228" t="str">
        <f t="shared" si="16"/>
        <v>TinPT Prima Timah Utama</v>
      </c>
    </row>
    <row r="92" spans="1:28" s="227" customFormat="1" ht="51">
      <c r="A92" s="181" t="s">
        <v>767</v>
      </c>
      <c r="B92" s="182" t="s">
        <v>1120</v>
      </c>
      <c r="C92" s="186" t="s">
        <v>12408</v>
      </c>
      <c r="D92" s="230"/>
      <c r="E92" s="182" t="s">
        <v>1086</v>
      </c>
      <c r="F92" s="182" t="s">
        <v>767</v>
      </c>
      <c r="G92" s="182" t="s">
        <v>13217</v>
      </c>
      <c r="H92" s="183">
        <v>0</v>
      </c>
      <c r="I92" s="184" t="s">
        <v>1769</v>
      </c>
      <c r="J92" s="184" t="s">
        <v>1666</v>
      </c>
      <c r="K92" s="224"/>
      <c r="L92" s="224"/>
      <c r="M92" s="224"/>
      <c r="N92" s="224"/>
      <c r="O92" s="224"/>
      <c r="P92" s="185"/>
      <c r="Q92" s="225"/>
      <c r="R92" s="182" t="s">
        <v>12408</v>
      </c>
      <c r="S92" s="181" t="str">
        <f t="shared" ca="1" si="17"/>
        <v>BR</v>
      </c>
      <c r="T92" s="181" t="str">
        <f ca="1">IF(B92="","",IF(ISERROR(MATCH($J92,[7]SorP!$B$1:$B$6279,0)),"",INDIRECT("'SorP'!$A$"&amp;MATCH($S92&amp;$J92,[7]SorP!C:C,0))))</f>
        <v>BR-SP</v>
      </c>
      <c r="U92" s="201"/>
      <c r="V92" s="226">
        <f>IF(C92="",NA(),IF(OR(C92="Smelter not listed",C92="Smelter not yet identified"),MATCH($B92&amp;$D92,'[7]Smelter Look-up'!$J:$J,0),MATCH($B92&amp;$C92,'[7]Smelter Look-up'!$J:$J,0)))</f>
        <v>465</v>
      </c>
      <c r="X92" s="227">
        <f t="shared" si="15"/>
        <v>0</v>
      </c>
      <c r="AB92" s="228" t="str">
        <f t="shared" si="16"/>
        <v>TinMineracao Taboca S.A.</v>
      </c>
    </row>
    <row r="93" spans="1:28" s="227" customFormat="1" ht="51">
      <c r="A93" s="181" t="s">
        <v>775</v>
      </c>
      <c r="B93" s="182" t="s">
        <v>1120</v>
      </c>
      <c r="C93" s="186" t="s">
        <v>2141</v>
      </c>
      <c r="D93" s="230"/>
      <c r="E93" s="182" t="s">
        <v>1095</v>
      </c>
      <c r="F93" s="182" t="s">
        <v>775</v>
      </c>
      <c r="G93" s="182" t="s">
        <v>13217</v>
      </c>
      <c r="H93" s="183">
        <v>0</v>
      </c>
      <c r="I93" s="184" t="s">
        <v>1753</v>
      </c>
      <c r="J93" s="184" t="s">
        <v>12830</v>
      </c>
      <c r="K93" s="224"/>
      <c r="L93" s="224"/>
      <c r="M93" s="224"/>
      <c r="N93" s="224"/>
      <c r="O93" s="224"/>
      <c r="P93" s="185"/>
      <c r="Q93" s="225"/>
      <c r="R93" s="182" t="s">
        <v>2141</v>
      </c>
      <c r="S93" s="181" t="str">
        <f t="shared" ca="1" si="17"/>
        <v>ID</v>
      </c>
      <c r="T93" s="181" t="str">
        <f ca="1">IF(B93="","",IF(ISERROR(MATCH($J93,[7]SorP!$B$1:$B$6279,0)),"",INDIRECT("'SorP'!$A$"&amp;MATCH($S93&amp;$J93,[7]SorP!C:C,0))))</f>
        <v>ID-BB</v>
      </c>
      <c r="U93" s="201"/>
      <c r="V93" s="226">
        <f>IF(C93="",NA(),IF(OR(C93="Smelter not listed",C93="Smelter not yet identified"),MATCH($B93&amp;$D93,'[7]Smelter Look-up'!$J:$J,0),MATCH($B93&amp;$C93,'[7]Smelter Look-up'!$J:$J,0)))</f>
        <v>507</v>
      </c>
      <c r="X93" s="227">
        <f t="shared" si="15"/>
        <v>0</v>
      </c>
      <c r="AB93" s="228" t="str">
        <f t="shared" si="16"/>
        <v>TinPT Refined Bangka Tin</v>
      </c>
    </row>
    <row r="94" spans="1:28" s="227" customFormat="1" ht="25.5">
      <c r="A94" s="181" t="s">
        <v>779</v>
      </c>
      <c r="B94" s="182" t="s">
        <v>1120</v>
      </c>
      <c r="C94" s="186" t="s">
        <v>1021</v>
      </c>
      <c r="D94" s="230"/>
      <c r="E94" s="182" t="s">
        <v>878</v>
      </c>
      <c r="F94" s="182" t="s">
        <v>779</v>
      </c>
      <c r="G94" s="182" t="s">
        <v>13217</v>
      </c>
      <c r="H94" s="183">
        <v>0</v>
      </c>
      <c r="I94" s="184" t="s">
        <v>1781</v>
      </c>
      <c r="J94" s="184" t="s">
        <v>1782</v>
      </c>
      <c r="K94" s="224"/>
      <c r="L94" s="224"/>
      <c r="M94" s="224"/>
      <c r="N94" s="224"/>
      <c r="O94" s="224"/>
      <c r="P94" s="185"/>
      <c r="Q94" s="225"/>
      <c r="R94" s="182" t="s">
        <v>1021</v>
      </c>
      <c r="S94" s="181" t="str">
        <f t="shared" ca="1" si="17"/>
        <v>TH</v>
      </c>
      <c r="T94" s="181" t="str">
        <f ca="1">IF(B94="","",IF(ISERROR(MATCH($J94,[7]SorP!$B$1:$B$6279,0)),"",INDIRECT("'SorP'!$A$"&amp;MATCH($S94&amp;$J94,[7]SorP!C:C,0))))</f>
        <v>TH-83</v>
      </c>
      <c r="U94" s="201"/>
      <c r="V94" s="226">
        <f>IF(C94="",NA(),IF(OR(C94="Smelter not listed",C94="Smelter not yet identified"),MATCH($B94&amp;$D94,'[7]Smelter Look-up'!$J:$J,0),MATCH($B94&amp;$C94,'[7]Smelter Look-up'!$J:$J,0)))</f>
        <v>526</v>
      </c>
      <c r="X94" s="227">
        <f t="shared" si="15"/>
        <v>0</v>
      </c>
      <c r="AB94" s="228" t="str">
        <f t="shared" si="16"/>
        <v>TinThaisarco</v>
      </c>
    </row>
    <row r="95" spans="1:28" s="227" customFormat="1" ht="25.5">
      <c r="A95" s="181" t="s">
        <v>761</v>
      </c>
      <c r="B95" s="182" t="s">
        <v>1120</v>
      </c>
      <c r="C95" s="186" t="s">
        <v>805</v>
      </c>
      <c r="D95" s="230"/>
      <c r="E95" s="182" t="s">
        <v>872</v>
      </c>
      <c r="F95" s="182" t="s">
        <v>761</v>
      </c>
      <c r="G95" s="182" t="s">
        <v>13217</v>
      </c>
      <c r="H95" s="183">
        <v>0</v>
      </c>
      <c r="I95" s="184" t="s">
        <v>1757</v>
      </c>
      <c r="J95" s="184" t="s">
        <v>9479</v>
      </c>
      <c r="K95" s="224"/>
      <c r="L95" s="224"/>
      <c r="M95" s="224"/>
      <c r="N95" s="224"/>
      <c r="O95" s="224"/>
      <c r="P95" s="185"/>
      <c r="Q95" s="225"/>
      <c r="R95" s="182" t="s">
        <v>805</v>
      </c>
      <c r="S95" s="181" t="str">
        <f t="shared" ca="1" si="17"/>
        <v>PL</v>
      </c>
      <c r="T95" s="181" t="str">
        <f ca="1">IF(B95="","",IF(ISERROR(MATCH($J95,[7]SorP!$B$1:$B$6279,0)),"",INDIRECT("'SorP'!$A$"&amp;MATCH($S95&amp;$J95,[7]SorP!C:C,0))))</f>
        <v>PL-18</v>
      </c>
      <c r="U95" s="201"/>
      <c r="V95" s="226">
        <f>IF(C95="",NA(),IF(OR(C95="Smelter not listed",C95="Smelter not yet identified"),MATCH($B95&amp;$D95,'[7]Smelter Look-up'!$J:$J,0),MATCH($B95&amp;$C95,'[7]Smelter Look-up'!$J:$J,0)))</f>
        <v>430</v>
      </c>
      <c r="X95" s="227">
        <f t="shared" si="15"/>
        <v>0</v>
      </c>
      <c r="AB95" s="228" t="str">
        <f t="shared" si="16"/>
        <v>TinFenix Metals</v>
      </c>
    </row>
    <row r="96" spans="1:28" s="227" customFormat="1" ht="51">
      <c r="A96" s="181" t="s">
        <v>794</v>
      </c>
      <c r="B96" s="182" t="s">
        <v>1120</v>
      </c>
      <c r="C96" s="186" t="s">
        <v>13779</v>
      </c>
      <c r="D96" s="230"/>
      <c r="E96" s="182" t="s">
        <v>1095</v>
      </c>
      <c r="F96" s="182" t="s">
        <v>794</v>
      </c>
      <c r="G96" s="182" t="s">
        <v>13217</v>
      </c>
      <c r="H96" s="183">
        <v>0</v>
      </c>
      <c r="I96" s="184" t="s">
        <v>1778</v>
      </c>
      <c r="J96" s="184" t="s">
        <v>6047</v>
      </c>
      <c r="K96" s="224"/>
      <c r="L96" s="224"/>
      <c r="M96" s="224"/>
      <c r="N96" s="224"/>
      <c r="O96" s="224"/>
      <c r="P96" s="185"/>
      <c r="Q96" s="225"/>
      <c r="R96" s="182" t="s">
        <v>13779</v>
      </c>
      <c r="S96" s="181" t="str">
        <f t="shared" ca="1" si="17"/>
        <v>ID</v>
      </c>
      <c r="T96" s="181" t="str">
        <f ca="1">IF(B96="","",IF(ISERROR(MATCH($J96,[7]SorP!$B$1:$B$6279,0)),"",INDIRECT("'SorP'!$A$"&amp;MATCH($S96&amp;$J96,[7]SorP!C:C,0))))</f>
        <v>ID-RI</v>
      </c>
      <c r="U96" s="201"/>
      <c r="V96" s="226">
        <f>IF(C96="",NA(),IF(OR(C96="Smelter not listed",C96="Smelter not yet identified"),MATCH($B96&amp;$D96,'[7]Smelter Look-up'!$J:$J,0),MATCH($B96&amp;$C96,'[7]Smelter Look-up'!$J:$J,0)))</f>
        <v>513</v>
      </c>
      <c r="X96" s="227">
        <f t="shared" si="15"/>
        <v>0</v>
      </c>
      <c r="AB96" s="228" t="str">
        <f t="shared" si="16"/>
        <v>TinPT Timah Tbk Kundur</v>
      </c>
    </row>
    <row r="97" spans="1:28" s="227" customFormat="1" ht="51">
      <c r="A97" s="181" t="s">
        <v>776</v>
      </c>
      <c r="B97" s="182" t="s">
        <v>1120</v>
      </c>
      <c r="C97" s="186" t="s">
        <v>13778</v>
      </c>
      <c r="D97" s="230"/>
      <c r="E97" s="182" t="s">
        <v>1095</v>
      </c>
      <c r="F97" s="182" t="s">
        <v>776</v>
      </c>
      <c r="G97" s="182" t="s">
        <v>13217</v>
      </c>
      <c r="H97" s="183">
        <v>0</v>
      </c>
      <c r="I97" s="184" t="s">
        <v>1780</v>
      </c>
      <c r="J97" s="184" t="s">
        <v>12830</v>
      </c>
      <c r="K97" s="224"/>
      <c r="L97" s="224"/>
      <c r="M97" s="224"/>
      <c r="N97" s="224"/>
      <c r="O97" s="224"/>
      <c r="P97" s="185"/>
      <c r="Q97" s="225"/>
      <c r="R97" s="182" t="s">
        <v>13778</v>
      </c>
      <c r="S97" s="181" t="str">
        <f t="shared" ca="1" si="17"/>
        <v>ID</v>
      </c>
      <c r="T97" s="181" t="str">
        <f ca="1">IF(B97="","",IF(ISERROR(MATCH($J97,[7]SorP!$B$1:$B$6279,0)),"",INDIRECT("'SorP'!$A$"&amp;MATCH($S97&amp;$J97,[7]SorP!C:C,0))))</f>
        <v>ID-BB</v>
      </c>
      <c r="U97" s="201"/>
      <c r="V97" s="226">
        <f>IF(C97="",NA(),IF(OR(C97="Smelter not listed",C97="Smelter not yet identified"),MATCH($B97&amp;$D97,'[7]Smelter Look-up'!$J:$J,0),MATCH($B97&amp;$C97,'[7]Smelter Look-up'!$J:$J,0)))</f>
        <v>514</v>
      </c>
      <c r="X97" s="227">
        <f t="shared" si="15"/>
        <v>0</v>
      </c>
      <c r="AB97" s="228" t="str">
        <f t="shared" si="16"/>
        <v>TinPT Timah Tbk Mentok</v>
      </c>
    </row>
    <row r="98" spans="1:28" s="227" customFormat="1" ht="114.75">
      <c r="A98" s="181" t="s">
        <v>2261</v>
      </c>
      <c r="B98" s="182" t="s">
        <v>1120</v>
      </c>
      <c r="C98" s="186" t="s">
        <v>2318</v>
      </c>
      <c r="D98" s="230"/>
      <c r="E98" s="182" t="s">
        <v>1090</v>
      </c>
      <c r="F98" s="182" t="s">
        <v>2261</v>
      </c>
      <c r="G98" s="182" t="s">
        <v>13217</v>
      </c>
      <c r="H98" s="183">
        <v>0</v>
      </c>
      <c r="I98" s="184" t="s">
        <v>1760</v>
      </c>
      <c r="J98" s="184" t="s">
        <v>13600</v>
      </c>
      <c r="K98" s="224"/>
      <c r="L98" s="224"/>
      <c r="M98" s="224"/>
      <c r="N98" s="224"/>
      <c r="O98" s="224"/>
      <c r="P98" s="185"/>
      <c r="Q98" s="225"/>
      <c r="R98" s="182" t="s">
        <v>2318</v>
      </c>
      <c r="S98" s="181" t="str">
        <f t="shared" ca="1" si="17"/>
        <v>CN</v>
      </c>
      <c r="T98" s="181" t="str">
        <f ca="1">IF(B98="","",IF(ISERROR(MATCH($J98,[7]SorP!$B$1:$B$6279,0)),"",INDIRECT("'SorP'!$A$"&amp;MATCH($S98&amp;$J98,[7]SorP!C:C,0))))</f>
        <v>CN-HN</v>
      </c>
      <c r="U98" s="201"/>
      <c r="V98" s="226">
        <f>IF(C98="",NA(),IF(OR(C98="Smelter not listed",C98="Smelter not yet identified"),MATCH($B98&amp;$D98,'[7]Smelter Look-up'!$J:$J,0),MATCH($B98&amp;$C98,'[7]Smelter Look-up'!$J:$J,0)))</f>
        <v>400</v>
      </c>
      <c r="X98" s="227">
        <f t="shared" si="15"/>
        <v>0</v>
      </c>
      <c r="AB98" s="228" t="str">
        <f t="shared" si="16"/>
        <v>TinChenzhou Yunxiang Mining and Metallurgy Co., Ltd.</v>
      </c>
    </row>
    <row r="99" spans="1:28" s="227" customFormat="1" ht="76.5">
      <c r="A99" s="181" t="s">
        <v>15063</v>
      </c>
      <c r="B99" s="182" t="s">
        <v>1120</v>
      </c>
      <c r="C99" s="186" t="s">
        <v>15062</v>
      </c>
      <c r="D99" s="230"/>
      <c r="E99" s="182" t="s">
        <v>1095</v>
      </c>
      <c r="F99" s="182" t="s">
        <v>15063</v>
      </c>
      <c r="G99" s="182" t="s">
        <v>13217</v>
      </c>
      <c r="H99" s="183">
        <v>0</v>
      </c>
      <c r="I99" s="184" t="s">
        <v>15108</v>
      </c>
      <c r="J99" s="184" t="s">
        <v>12830</v>
      </c>
      <c r="K99" s="224"/>
      <c r="L99" s="224"/>
      <c r="M99" s="224"/>
      <c r="N99" s="224"/>
      <c r="O99" s="224"/>
      <c r="P99" s="185"/>
      <c r="Q99" s="225"/>
      <c r="R99" s="182" t="s">
        <v>15062</v>
      </c>
      <c r="S99" s="181" t="str">
        <f t="shared" ca="1" si="17"/>
        <v>ID</v>
      </c>
      <c r="T99" s="181" t="str">
        <f ca="1">IF(B99="","",IF(ISERROR(MATCH($J99,[7]SorP!$B$1:$B$6279,0)),"",INDIRECT("'SorP'!$A$"&amp;MATCH($S99&amp;$J99,[7]SorP!C:C,0))))</f>
        <v>ID-BB</v>
      </c>
      <c r="U99" s="201"/>
      <c r="V99" s="226">
        <f>IF(C99="",NA(),IF(OR(C99="Smelter not listed",C99="Smelter not yet identified"),MATCH($B99&amp;$D99,'[7]Smelter Look-up'!$J:$J,0),MATCH($B99&amp;$C99,'[7]Smelter Look-up'!$J:$J,0)))</f>
        <v>486</v>
      </c>
      <c r="X99" s="227">
        <f t="shared" si="15"/>
        <v>0</v>
      </c>
      <c r="AB99" s="228" t="str">
        <f t="shared" si="16"/>
        <v>TinPT Aries Kencana Sejahtera</v>
      </c>
    </row>
    <row r="100" spans="1:28" s="227" customFormat="1" ht="38.25">
      <c r="A100" s="181" t="s">
        <v>759</v>
      </c>
      <c r="B100" s="182" t="s">
        <v>1120</v>
      </c>
      <c r="C100" s="186" t="s">
        <v>832</v>
      </c>
      <c r="D100" s="230"/>
      <c r="E100" s="182" t="s">
        <v>2413</v>
      </c>
      <c r="F100" s="182" t="s">
        <v>759</v>
      </c>
      <c r="G100" s="182" t="s">
        <v>13217</v>
      </c>
      <c r="H100" s="183">
        <v>0</v>
      </c>
      <c r="I100" s="184" t="s">
        <v>1755</v>
      </c>
      <c r="J100" s="184" t="s">
        <v>1755</v>
      </c>
      <c r="K100" s="224"/>
      <c r="L100" s="224"/>
      <c r="M100" s="224"/>
      <c r="N100" s="224"/>
      <c r="O100" s="224"/>
      <c r="P100" s="185"/>
      <c r="Q100" s="225"/>
      <c r="R100" s="182" t="s">
        <v>832</v>
      </c>
      <c r="S100" s="181" t="str">
        <f t="shared" ca="1" si="17"/>
        <v>BO</v>
      </c>
      <c r="T100" s="181" t="str">
        <f ca="1">IF(B100="","",IF(ISERROR(MATCH($J100,[7]SorP!$B$1:$B$6279,0)),"",INDIRECT("'SorP'!$A$"&amp;MATCH($S100&amp;$J100,[7]SorP!C:C,0))))</f>
        <v>BO-O</v>
      </c>
      <c r="U100" s="201"/>
      <c r="V100" s="226">
        <f>IF(C100="",NA(),IF(OR(C100="Smelter not listed",C100="Smelter not yet identified"),MATCH($B100&amp;$D100,'[7]Smelter Look-up'!$J:$J,0),MATCH($B100&amp;$C100,'[7]Smelter Look-up'!$J:$J,0)))</f>
        <v>421</v>
      </c>
      <c r="X100" s="227">
        <f t="shared" si="15"/>
        <v>0</v>
      </c>
      <c r="AB100" s="228" t="str">
        <f t="shared" si="16"/>
        <v>TinEM Vinto</v>
      </c>
    </row>
    <row r="101" spans="1:28" s="227" customFormat="1" ht="89.25">
      <c r="A101" s="181" t="s">
        <v>766</v>
      </c>
      <c r="B101" s="182" t="s">
        <v>1120</v>
      </c>
      <c r="C101" s="186" t="s">
        <v>811</v>
      </c>
      <c r="D101" s="230"/>
      <c r="E101" s="182" t="s">
        <v>1105</v>
      </c>
      <c r="F101" s="182" t="s">
        <v>766</v>
      </c>
      <c r="G101" s="182" t="s">
        <v>13217</v>
      </c>
      <c r="H101" s="183">
        <v>0</v>
      </c>
      <c r="I101" s="184" t="s">
        <v>1766</v>
      </c>
      <c r="J101" s="184" t="s">
        <v>8666</v>
      </c>
      <c r="K101" s="224"/>
      <c r="L101" s="224"/>
      <c r="M101" s="224"/>
      <c r="N101" s="224"/>
      <c r="O101" s="224"/>
      <c r="P101" s="185"/>
      <c r="Q101" s="225"/>
      <c r="R101" s="182" t="s">
        <v>811</v>
      </c>
      <c r="S101" s="181" t="str">
        <f t="shared" ca="1" si="17"/>
        <v>MY</v>
      </c>
      <c r="T101" s="181" t="str">
        <f ca="1">IF(B101="","",IF(ISERROR(MATCH($J101,[7]SorP!$B$1:$B$6279,0)),"",INDIRECT("'SorP'!$A$"&amp;MATCH($S101&amp;$J101,[7]SorP!C:C,0))))</f>
        <v>MY-07</v>
      </c>
      <c r="U101" s="201"/>
      <c r="V101" s="226">
        <f>IF(C101="",NA(),IF(OR(C101="Smelter not listed",C101="Smelter not yet identified"),MATCH($B101&amp;$D101,'[7]Smelter Look-up'!$J:$J,0),MATCH($B101&amp;$C101,'[7]Smelter Look-up'!$J:$J,0)))</f>
        <v>458</v>
      </c>
      <c r="X101" s="227">
        <f t="shared" si="15"/>
        <v>0</v>
      </c>
      <c r="AB101" s="228" t="str">
        <f t="shared" si="16"/>
        <v>TinMalaysia Smelting Corporation (MSC)</v>
      </c>
    </row>
    <row r="102" spans="1:28" s="227" customFormat="1" ht="63.75">
      <c r="A102" s="181" t="s">
        <v>773</v>
      </c>
      <c r="B102" s="182" t="s">
        <v>1120</v>
      </c>
      <c r="C102" s="186" t="s">
        <v>834</v>
      </c>
      <c r="D102" s="230"/>
      <c r="E102" s="182" t="s">
        <v>1095</v>
      </c>
      <c r="F102" s="182" t="s">
        <v>773</v>
      </c>
      <c r="G102" s="182" t="s">
        <v>13217</v>
      </c>
      <c r="H102" s="183">
        <v>0</v>
      </c>
      <c r="I102" s="184" t="s">
        <v>1753</v>
      </c>
      <c r="J102" s="184" t="s">
        <v>12830</v>
      </c>
      <c r="K102" s="224"/>
      <c r="L102" s="224"/>
      <c r="M102" s="224"/>
      <c r="N102" s="224"/>
      <c r="O102" s="224"/>
      <c r="P102" s="185"/>
      <c r="Q102" s="225"/>
      <c r="R102" s="182" t="s">
        <v>834</v>
      </c>
      <c r="S102" s="181" t="str">
        <f t="shared" ca="1" si="17"/>
        <v>ID</v>
      </c>
      <c r="T102" s="181" t="str">
        <f ca="1">IF(B102="","",IF(ISERROR(MATCH($J102,[7]SorP!$B$1:$B$6279,0)),"",INDIRECT("'SorP'!$A$"&amp;MATCH($S102&amp;$J102,[7]SorP!C:C,0))))</f>
        <v>ID-BB</v>
      </c>
      <c r="U102" s="201"/>
      <c r="V102" s="226">
        <f>IF(C102="",NA(),IF(OR(C102="Smelter not listed",C102="Smelter not yet identified"),MATCH($B102&amp;$D102,'[7]Smelter Look-up'!$J:$J,0),MATCH($B102&amp;$C102,'[7]Smelter Look-up'!$J:$J,0)))</f>
        <v>487</v>
      </c>
      <c r="X102" s="227">
        <f t="shared" si="15"/>
        <v>0</v>
      </c>
      <c r="AB102" s="228" t="str">
        <f t="shared" si="16"/>
        <v>TinPT Artha Cipta Langgeng</v>
      </c>
    </row>
    <row r="103" spans="1:28" s="227" customFormat="1" ht="63.75">
      <c r="A103" s="181" t="s">
        <v>15076</v>
      </c>
      <c r="B103" s="182" t="s">
        <v>1120</v>
      </c>
      <c r="C103" s="186" t="s">
        <v>15075</v>
      </c>
      <c r="D103" s="230"/>
      <c r="E103" s="182" t="s">
        <v>1095</v>
      </c>
      <c r="F103" s="182" t="s">
        <v>15076</v>
      </c>
      <c r="G103" s="182" t="s">
        <v>13217</v>
      </c>
      <c r="H103" s="183">
        <v>0</v>
      </c>
      <c r="I103" s="184" t="s">
        <v>15112</v>
      </c>
      <c r="J103" s="184" t="s">
        <v>12830</v>
      </c>
      <c r="K103" s="224"/>
      <c r="L103" s="224"/>
      <c r="M103" s="224"/>
      <c r="N103" s="224"/>
      <c r="O103" s="224"/>
      <c r="P103" s="185"/>
      <c r="Q103" s="225"/>
      <c r="R103" s="182" t="s">
        <v>15075</v>
      </c>
      <c r="S103" s="181" t="str">
        <f t="shared" ref="S103:S133" ca="1" si="18">IF(B103="","",IF(ISERROR(MATCH($E103,CL,0)),"Unknown",INDIRECT("'C'!$A$"&amp;MATCH($E103,CL,0)+1)))</f>
        <v>ID</v>
      </c>
      <c r="T103" s="181" t="str">
        <f ca="1">IF(B103="","",IF(ISERROR(MATCH($J103,[7]SorP!$B$1:$B$6279,0)),"",INDIRECT("'SorP'!$A$"&amp;MATCH($S103&amp;$J103,[7]SorP!C:C,0))))</f>
        <v>ID-BB</v>
      </c>
      <c r="U103" s="201"/>
      <c r="V103" s="226">
        <f>IF(C103="",NA(),IF(OR(C103="Smelter not listed",C103="Smelter not yet identified"),MATCH($B103&amp;$D103,'[7]Smelter Look-up'!$J:$J,0),MATCH($B103&amp;$C103,'[7]Smelter Look-up'!$J:$J,0)))</f>
        <v>490</v>
      </c>
      <c r="X103" s="227">
        <f t="shared" si="15"/>
        <v>0</v>
      </c>
      <c r="AB103" s="228" t="str">
        <f t="shared" si="16"/>
        <v>TinPT Babel Surya Alam Lestari</v>
      </c>
    </row>
    <row r="104" spans="1:28" s="227" customFormat="1" ht="51">
      <c r="A104" s="181" t="s">
        <v>774</v>
      </c>
      <c r="B104" s="182" t="s">
        <v>1120</v>
      </c>
      <c r="C104" s="186" t="s">
        <v>623</v>
      </c>
      <c r="D104" s="230"/>
      <c r="E104" s="182" t="s">
        <v>1095</v>
      </c>
      <c r="F104" s="182" t="s">
        <v>774</v>
      </c>
      <c r="G104" s="182" t="s">
        <v>13217</v>
      </c>
      <c r="H104" s="183">
        <v>0</v>
      </c>
      <c r="I104" s="184" t="s">
        <v>1753</v>
      </c>
      <c r="J104" s="184" t="s">
        <v>12830</v>
      </c>
      <c r="K104" s="224"/>
      <c r="L104" s="224"/>
      <c r="M104" s="224"/>
      <c r="N104" s="224"/>
      <c r="O104" s="224"/>
      <c r="P104" s="185"/>
      <c r="Q104" s="225"/>
      <c r="R104" s="182" t="s">
        <v>623</v>
      </c>
      <c r="S104" s="181" t="str">
        <f t="shared" ca="1" si="18"/>
        <v>ID</v>
      </c>
      <c r="T104" s="181" t="str">
        <f ca="1">IF(B104="","",IF(ISERROR(MATCH($J104,[7]SorP!$B$1:$B$6279,0)),"",INDIRECT("'SorP'!$A$"&amp;MATCH($S104&amp;$J104,[7]SorP!C:C,0))))</f>
        <v>ID-BB</v>
      </c>
      <c r="U104" s="201"/>
      <c r="V104" s="226">
        <f>IF(C104="",NA(),IF(OR(C104="Smelter not listed",C104="Smelter not yet identified"),MATCH($B104&amp;$D104,'[7]Smelter Look-up'!$J:$J,0),MATCH($B104&amp;$C104,'[7]Smelter Look-up'!$J:$J,0)))</f>
        <v>500</v>
      </c>
      <c r="X104" s="227">
        <f t="shared" si="15"/>
        <v>0</v>
      </c>
      <c r="AB104" s="228" t="str">
        <f t="shared" si="16"/>
        <v>TinPT Mitra Stania Prima</v>
      </c>
    </row>
    <row r="105" spans="1:28" s="227" customFormat="1" ht="63.75">
      <c r="A105" s="181" t="s">
        <v>15457</v>
      </c>
      <c r="B105" s="182" t="s">
        <v>1120</v>
      </c>
      <c r="C105" s="186" t="s">
        <v>15456</v>
      </c>
      <c r="D105" s="230"/>
      <c r="E105" s="182" t="s">
        <v>1095</v>
      </c>
      <c r="F105" s="182" t="s">
        <v>15457</v>
      </c>
      <c r="G105" s="182" t="s">
        <v>13217</v>
      </c>
      <c r="H105" s="183">
        <v>0</v>
      </c>
      <c r="I105" s="184" t="s">
        <v>15109</v>
      </c>
      <c r="J105" s="184" t="s">
        <v>12830</v>
      </c>
      <c r="K105" s="224"/>
      <c r="L105" s="224"/>
      <c r="M105" s="224"/>
      <c r="N105" s="224"/>
      <c r="O105" s="224"/>
      <c r="P105" s="185"/>
      <c r="Q105" s="225"/>
      <c r="R105" s="182" t="s">
        <v>15456</v>
      </c>
      <c r="S105" s="181" t="str">
        <f t="shared" ca="1" si="18"/>
        <v>ID</v>
      </c>
      <c r="T105" s="181" t="str">
        <f ca="1">IF(B105="","",IF(ISERROR(MATCH($J105,[7]SorP!$B$1:$B$6279,0)),"",INDIRECT("'SorP'!$A$"&amp;MATCH($S105&amp;$J105,[7]SorP!C:C,0))))</f>
        <v>ID-BB</v>
      </c>
      <c r="U105" s="201"/>
      <c r="V105" s="226">
        <f>IF(C105="",NA(),IF(OR(C105="Smelter not listed",C105="Smelter not yet identified"),MATCH($B105&amp;$D105,'[7]Smelter Look-up'!$J:$J,0),MATCH($B105&amp;$C105,'[7]Smelter Look-up'!$J:$J,0)))</f>
        <v>508</v>
      </c>
      <c r="X105" s="227">
        <f t="shared" si="15"/>
        <v>0</v>
      </c>
      <c r="AB105" s="228" t="str">
        <f t="shared" si="16"/>
        <v>TinPT Sariwiguna Binasentosa</v>
      </c>
    </row>
    <row r="106" spans="1:28" s="227" customFormat="1" ht="51">
      <c r="A106" s="181" t="s">
        <v>15084</v>
      </c>
      <c r="B106" s="182" t="s">
        <v>1120</v>
      </c>
      <c r="C106" s="186" t="s">
        <v>15083</v>
      </c>
      <c r="D106" s="230"/>
      <c r="E106" s="182" t="s">
        <v>1095</v>
      </c>
      <c r="F106" s="182" t="s">
        <v>15084</v>
      </c>
      <c r="G106" s="182" t="s">
        <v>13217</v>
      </c>
      <c r="H106" s="183">
        <v>0</v>
      </c>
      <c r="I106" s="184" t="s">
        <v>15109</v>
      </c>
      <c r="J106" s="184" t="s">
        <v>12830</v>
      </c>
      <c r="K106" s="224"/>
      <c r="L106" s="224"/>
      <c r="M106" s="224"/>
      <c r="N106" s="224"/>
      <c r="O106" s="224"/>
      <c r="P106" s="185"/>
      <c r="Q106" s="225"/>
      <c r="R106" s="182" t="s">
        <v>15083</v>
      </c>
      <c r="S106" s="181" t="str">
        <f t="shared" ca="1" si="18"/>
        <v>ID</v>
      </c>
      <c r="T106" s="181" t="str">
        <f ca="1">IF(B106="","",IF(ISERROR(MATCH($J106,[7]SorP!$B$1:$B$6279,0)),"",INDIRECT("'SorP'!$A$"&amp;MATCH($S106&amp;$J106,[7]SorP!C:C,0))))</f>
        <v>ID-BB</v>
      </c>
      <c r="U106" s="201"/>
      <c r="V106" s="226">
        <f>IF(C106="",NA(),IF(OR(C106="Smelter not listed",C106="Smelter not yet identified"),MATCH($B106&amp;$D106,'[7]Smelter Look-up'!$J:$J,0),MATCH($B106&amp;$C106,'[7]Smelter Look-up'!$J:$J,0)))</f>
        <v>509</v>
      </c>
      <c r="X106" s="227">
        <f t="shared" si="15"/>
        <v>0</v>
      </c>
      <c r="AB106" s="228" t="str">
        <f t="shared" si="16"/>
        <v>TinPT Stanindo Inti Perkasa</v>
      </c>
    </row>
    <row r="107" spans="1:28" s="227" customFormat="1" ht="63.75">
      <c r="A107" s="181" t="s">
        <v>1392</v>
      </c>
      <c r="B107" s="182" t="s">
        <v>1120</v>
      </c>
      <c r="C107" s="186" t="s">
        <v>1391</v>
      </c>
      <c r="D107" s="230"/>
      <c r="E107" s="182" t="s">
        <v>1095</v>
      </c>
      <c r="F107" s="182" t="s">
        <v>1392</v>
      </c>
      <c r="G107" s="182" t="s">
        <v>13217</v>
      </c>
      <c r="H107" s="183">
        <v>0</v>
      </c>
      <c r="I107" s="184" t="s">
        <v>1753</v>
      </c>
      <c r="J107" s="184" t="s">
        <v>12830</v>
      </c>
      <c r="K107" s="224"/>
      <c r="L107" s="224"/>
      <c r="M107" s="224"/>
      <c r="N107" s="224"/>
      <c r="O107" s="224"/>
      <c r="P107" s="185"/>
      <c r="Q107" s="225"/>
      <c r="R107" s="182" t="s">
        <v>1391</v>
      </c>
      <c r="S107" s="181" t="str">
        <f t="shared" ca="1" si="18"/>
        <v>ID</v>
      </c>
      <c r="T107" s="181" t="str">
        <f ca="1">IF(B107="","",IF(ISERROR(MATCH($J107,[7]SorP!$B$1:$B$6279,0)),"",INDIRECT("'SorP'!$A$"&amp;MATCH($S107&amp;$J107,[7]SorP!C:C,0))))</f>
        <v>ID-BB</v>
      </c>
      <c r="U107" s="201"/>
      <c r="V107" s="226">
        <f>IF(C107="",NA(),IF(OR(C107="Smelter not listed",C107="Smelter not yet identified"),MATCH($B107&amp;$D107,'[7]Smelter Look-up'!$J:$J,0),MATCH($B107&amp;$C107,'[7]Smelter Look-up'!$J:$J,0)))</f>
        <v>488</v>
      </c>
      <c r="X107" s="227">
        <f t="shared" si="15"/>
        <v>0</v>
      </c>
      <c r="AB107" s="228" t="str">
        <f t="shared" si="16"/>
        <v>TinPT ATD Makmur Mandiri Jaya</v>
      </c>
    </row>
    <row r="108" spans="1:28" s="227" customFormat="1" ht="38.25">
      <c r="A108" s="181" t="s">
        <v>1801</v>
      </c>
      <c r="B108" s="182" t="s">
        <v>1120</v>
      </c>
      <c r="C108" s="186" t="s">
        <v>15496</v>
      </c>
      <c r="D108" s="230"/>
      <c r="E108" s="182" t="s">
        <v>1085</v>
      </c>
      <c r="F108" s="182" t="s">
        <v>1801</v>
      </c>
      <c r="G108" s="182" t="s">
        <v>13217</v>
      </c>
      <c r="H108" s="183">
        <v>0</v>
      </c>
      <c r="I108" s="184" t="s">
        <v>1802</v>
      </c>
      <c r="J108" s="184" t="s">
        <v>3135</v>
      </c>
      <c r="K108" s="224"/>
      <c r="L108" s="224"/>
      <c r="M108" s="224"/>
      <c r="N108" s="224"/>
      <c r="O108" s="224"/>
      <c r="P108" s="185"/>
      <c r="Q108" s="225"/>
      <c r="R108" s="182" t="s">
        <v>15496</v>
      </c>
      <c r="S108" s="181" t="str">
        <f t="shared" ca="1" si="18"/>
        <v>BE</v>
      </c>
      <c r="T108" s="181" t="str">
        <f ca="1">IF(B108="","",IF(ISERROR(MATCH($J108,[7]SorP!$B$1:$B$6279,0)),"",INDIRECT("'SorP'!$A$"&amp;MATCH($S108&amp;$J108,[7]SorP!C:C,0))))</f>
        <v>BE-VAN</v>
      </c>
      <c r="U108" s="201"/>
      <c r="V108" s="226">
        <f>IF(C108="",NA(),IF(OR(C108="Smelter not listed",C108="Smelter not yet identified"),MATCH($B108&amp;$D108,'[7]Smelter Look-up'!$J:$J,0),MATCH($B108&amp;$C108,'[7]Smelter Look-up'!$J:$J,0)))</f>
        <v>394</v>
      </c>
      <c r="X108" s="227">
        <f t="shared" si="15"/>
        <v>0</v>
      </c>
      <c r="AB108" s="228" t="str">
        <f t="shared" si="16"/>
        <v>TinAurubis Beerse</v>
      </c>
    </row>
    <row r="109" spans="1:28" s="227" customFormat="1" ht="51">
      <c r="A109" s="181" t="s">
        <v>15458</v>
      </c>
      <c r="B109" s="182" t="s">
        <v>1120</v>
      </c>
      <c r="C109" s="186" t="s">
        <v>15877</v>
      </c>
      <c r="D109" s="230"/>
      <c r="E109" s="182" t="s">
        <v>1095</v>
      </c>
      <c r="F109" s="182" t="s">
        <v>15458</v>
      </c>
      <c r="G109" s="182" t="s">
        <v>13217</v>
      </c>
      <c r="H109" s="183">
        <v>0</v>
      </c>
      <c r="I109" s="184" t="s">
        <v>15513</v>
      </c>
      <c r="J109" s="184" t="s">
        <v>12830</v>
      </c>
      <c r="K109" s="224"/>
      <c r="L109" s="224"/>
      <c r="M109" s="224"/>
      <c r="N109" s="224"/>
      <c r="O109" s="224"/>
      <c r="P109" s="185"/>
      <c r="Q109" s="225"/>
      <c r="R109" s="182" t="s">
        <v>15877</v>
      </c>
      <c r="S109" s="181" t="str">
        <f t="shared" ca="1" si="18"/>
        <v>ID</v>
      </c>
      <c r="T109" s="181" t="str">
        <f ca="1">IF(B109="","",IF(ISERROR(MATCH($J109,[7]SorP!$B$1:$B$6279,0)),"",INDIRECT("'SorP'!$A$"&amp;MATCH($S109&amp;$J109,[7]SorP!C:C,0))))</f>
        <v>ID-BB</v>
      </c>
      <c r="U109" s="201"/>
      <c r="V109" s="226">
        <f>IF(C109="",NA(),IF(OR(C109="Smelter not listed",C109="Smelter not yet identified"),MATCH($B109&amp;$D109,'[7]Smelter Look-up'!$J:$J,0),MATCH($B109&amp;$C109,'[7]Smelter Look-up'!$J:$J,0)))</f>
        <v>510</v>
      </c>
      <c r="X109" s="227">
        <f t="shared" si="15"/>
        <v>0</v>
      </c>
      <c r="AB109" s="228" t="str">
        <f t="shared" si="16"/>
        <v>TinPT Sukses Inti Makmur</v>
      </c>
    </row>
    <row r="110" spans="1:28" s="227" customFormat="1" ht="51">
      <c r="A110" s="181" t="s">
        <v>15078</v>
      </c>
      <c r="B110" s="182" t="s">
        <v>1120</v>
      </c>
      <c r="C110" s="186" t="s">
        <v>15077</v>
      </c>
      <c r="D110" s="230"/>
      <c r="E110" s="182" t="s">
        <v>1095</v>
      </c>
      <c r="F110" s="182" t="s">
        <v>15078</v>
      </c>
      <c r="G110" s="182" t="s">
        <v>13217</v>
      </c>
      <c r="H110" s="183">
        <v>0</v>
      </c>
      <c r="I110" s="184" t="s">
        <v>15114</v>
      </c>
      <c r="J110" s="184" t="s">
        <v>12830</v>
      </c>
      <c r="K110" s="224"/>
      <c r="L110" s="224"/>
      <c r="M110" s="224"/>
      <c r="N110" s="224"/>
      <c r="O110" s="224"/>
      <c r="P110" s="185"/>
      <c r="Q110" s="225"/>
      <c r="R110" s="182" t="s">
        <v>15077</v>
      </c>
      <c r="S110" s="181" t="str">
        <f t="shared" ca="1" si="18"/>
        <v>ID</v>
      </c>
      <c r="T110" s="181" t="str">
        <f ca="1">IF(B110="","",IF(ISERROR(MATCH($J110,[7]SorP!$B$1:$B$6279,0)),"",INDIRECT("'SorP'!$A$"&amp;MATCH($S110&amp;$J110,[7]SorP!C:C,0))))</f>
        <v>ID-BB</v>
      </c>
      <c r="U110" s="201"/>
      <c r="V110" s="226">
        <f>IF(C110="",NA(),IF(OR(C110="Smelter not listed",C110="Smelter not yet identified"),MATCH($B110&amp;$D110,'[7]Smelter Look-up'!$J:$J,0),MATCH($B110&amp;$C110,'[7]Smelter Look-up'!$J:$J,0)))</f>
        <v>499</v>
      </c>
      <c r="X110" s="227">
        <f t="shared" si="15"/>
        <v>0</v>
      </c>
      <c r="AB110" s="228" t="str">
        <f t="shared" si="16"/>
        <v>TinPT Menara Cipta Mulia</v>
      </c>
    </row>
    <row r="111" spans="1:28" s="227" customFormat="1" ht="51">
      <c r="A111" s="181" t="s">
        <v>14001</v>
      </c>
      <c r="B111" s="182" t="s">
        <v>1120</v>
      </c>
      <c r="C111" s="186" t="s">
        <v>12914</v>
      </c>
      <c r="D111" s="230"/>
      <c r="E111" s="182" t="s">
        <v>1095</v>
      </c>
      <c r="F111" s="182" t="s">
        <v>14001</v>
      </c>
      <c r="G111" s="182" t="s">
        <v>13217</v>
      </c>
      <c r="H111" s="183">
        <v>0</v>
      </c>
      <c r="I111" s="184" t="s">
        <v>15113</v>
      </c>
      <c r="J111" s="184" t="s">
        <v>12830</v>
      </c>
      <c r="K111" s="224"/>
      <c r="L111" s="224"/>
      <c r="M111" s="224"/>
      <c r="N111" s="224"/>
      <c r="O111" s="224"/>
      <c r="P111" s="185"/>
      <c r="Q111" s="225"/>
      <c r="R111" s="182" t="s">
        <v>12914</v>
      </c>
      <c r="S111" s="181" t="str">
        <f t="shared" ca="1" si="18"/>
        <v>ID</v>
      </c>
      <c r="T111" s="181" t="str">
        <f ca="1">IF(B111="","",IF(ISERROR(MATCH($J111,[7]SorP!$B$1:$B$6279,0)),"",INDIRECT("'SorP'!$A$"&amp;MATCH($S111&amp;$J111,[7]SorP!C:C,0))))</f>
        <v>ID-BB</v>
      </c>
      <c r="U111" s="201"/>
      <c r="V111" s="226">
        <f>IF(C111="",NA(),IF(OR(C111="Smelter not listed",C111="Smelter not yet identified"),MATCH($B111&amp;$D111,'[7]Smelter Look-up'!$J:$J,0),MATCH($B111&amp;$C111,'[7]Smelter Look-up'!$J:$J,0)))</f>
        <v>492</v>
      </c>
      <c r="X111" s="227">
        <f t="shared" si="15"/>
        <v>0</v>
      </c>
      <c r="AB111" s="228" t="str">
        <f t="shared" si="16"/>
        <v>TinPT Bangka Serumpun</v>
      </c>
    </row>
    <row r="112" spans="1:28" s="227" customFormat="1" ht="51">
      <c r="A112" s="181" t="s">
        <v>15082</v>
      </c>
      <c r="B112" s="182" t="s">
        <v>1120</v>
      </c>
      <c r="C112" s="186" t="s">
        <v>15081</v>
      </c>
      <c r="D112" s="230"/>
      <c r="E112" s="182" t="s">
        <v>1095</v>
      </c>
      <c r="F112" s="182" t="s">
        <v>15082</v>
      </c>
      <c r="G112" s="182" t="s">
        <v>13217</v>
      </c>
      <c r="H112" s="183">
        <v>0</v>
      </c>
      <c r="I112" s="184" t="s">
        <v>15115</v>
      </c>
      <c r="J112" s="184" t="s">
        <v>12830</v>
      </c>
      <c r="K112" s="224"/>
      <c r="L112" s="224"/>
      <c r="M112" s="224"/>
      <c r="N112" s="224"/>
      <c r="O112" s="224"/>
      <c r="P112" s="185"/>
      <c r="Q112" s="225"/>
      <c r="R112" s="182" t="s">
        <v>15081</v>
      </c>
      <c r="S112" s="181" t="str">
        <f t="shared" ca="1" si="18"/>
        <v>ID</v>
      </c>
      <c r="T112" s="181" t="str">
        <f ca="1">IF(B112="","",IF(ISERROR(MATCH($J112,[7]SorP!$B$1:$B$6279,0)),"",INDIRECT("'SorP'!$A$"&amp;MATCH($S112&amp;$J112,[7]SorP!C:C,0))))</f>
        <v>ID-BB</v>
      </c>
      <c r="U112" s="201"/>
      <c r="V112" s="226">
        <f>IF(C112="",NA(),IF(OR(C112="Smelter not listed",C112="Smelter not yet identified"),MATCH($B112&amp;$D112,'[7]Smelter Look-up'!$J:$J,0),MATCH($B112&amp;$C112,'[7]Smelter Look-up'!$J:$J,0)))</f>
        <v>506</v>
      </c>
      <c r="X112" s="227">
        <f t="shared" si="15"/>
        <v>0</v>
      </c>
      <c r="AB112" s="228" t="str">
        <f t="shared" si="16"/>
        <v>TinPT Rajawali Rimba Perkasa</v>
      </c>
    </row>
    <row r="113" spans="1:28" s="227" customFormat="1" ht="38.25">
      <c r="A113" s="181" t="s">
        <v>13840</v>
      </c>
      <c r="B113" s="182" t="s">
        <v>1120</v>
      </c>
      <c r="C113" s="186" t="s">
        <v>13826</v>
      </c>
      <c r="D113" s="230"/>
      <c r="E113" s="182" t="s">
        <v>13082</v>
      </c>
      <c r="F113" s="182" t="s">
        <v>13840</v>
      </c>
      <c r="G113" s="182" t="s">
        <v>13217</v>
      </c>
      <c r="H113" s="183">
        <v>0</v>
      </c>
      <c r="I113" s="184" t="s">
        <v>13851</v>
      </c>
      <c r="J113" s="184" t="s">
        <v>10043</v>
      </c>
      <c r="K113" s="224"/>
      <c r="L113" s="224"/>
      <c r="M113" s="224"/>
      <c r="N113" s="224"/>
      <c r="O113" s="224"/>
      <c r="P113" s="185"/>
      <c r="Q113" s="225"/>
      <c r="R113" s="182" t="s">
        <v>13826</v>
      </c>
      <c r="S113" s="181" t="str">
        <f t="shared" ca="1" si="18"/>
        <v>RW</v>
      </c>
      <c r="T113" s="181" t="str">
        <f ca="1">IF(B113="","",IF(ISERROR(MATCH($J113,[7]SorP!$B$1:$B$6279,0)),"",INDIRECT("'SorP'!$A$"&amp;MATCH($S113&amp;$J113,[7]SorP!C:C,0))))</f>
        <v>RW-01</v>
      </c>
      <c r="U113" s="201"/>
      <c r="V113" s="226">
        <f>IF(C113="",NA(),IF(OR(C113="Smelter not listed",C113="Smelter not yet identified"),MATCH($B113&amp;$D113,'[7]Smelter Look-up'!$J:$J,0),MATCH($B113&amp;$C113,'[7]Smelter Look-up'!$J:$J,0)))</f>
        <v>456</v>
      </c>
      <c r="X113" s="227">
        <f t="shared" si="15"/>
        <v>0</v>
      </c>
      <c r="AB113" s="228" t="str">
        <f t="shared" si="16"/>
        <v>TinLuna Smelter, Ltd.</v>
      </c>
    </row>
    <row r="114" spans="1:28" s="227" customFormat="1" ht="63.75">
      <c r="A114" s="181" t="s">
        <v>13841</v>
      </c>
      <c r="B114" s="182" t="s">
        <v>1120</v>
      </c>
      <c r="C114" s="186" t="s">
        <v>13827</v>
      </c>
      <c r="D114" s="230"/>
      <c r="E114" s="182" t="s">
        <v>1095</v>
      </c>
      <c r="F114" s="182" t="s">
        <v>13841</v>
      </c>
      <c r="G114" s="182" t="s">
        <v>13217</v>
      </c>
      <c r="H114" s="183">
        <v>0</v>
      </c>
      <c r="I114" s="184" t="s">
        <v>15113</v>
      </c>
      <c r="J114" s="184" t="s">
        <v>12830</v>
      </c>
      <c r="K114" s="224"/>
      <c r="L114" s="224"/>
      <c r="M114" s="224"/>
      <c r="N114" s="224"/>
      <c r="O114" s="224"/>
      <c r="P114" s="185"/>
      <c r="Q114" s="225"/>
      <c r="R114" s="182" t="s">
        <v>13827</v>
      </c>
      <c r="S114" s="181" t="str">
        <f t="shared" ca="1" si="18"/>
        <v>ID</v>
      </c>
      <c r="T114" s="181" t="str">
        <f ca="1">IF(B114="","",IF(ISERROR(MATCH($J114,[7]SorP!$B$1:$B$6279,0)),"",INDIRECT("'SorP'!$A$"&amp;MATCH($S114&amp;$J114,[7]SorP!C:C,0))))</f>
        <v>ID-BB</v>
      </c>
      <c r="U114" s="201"/>
      <c r="V114" s="226">
        <f>IF(C114="",NA(),IF(OR(C114="Smelter not listed",C114="Smelter not yet identified"),MATCH($B114&amp;$D114,'[7]Smelter Look-up'!$J:$J,0),MATCH($B114&amp;$C114,'[7]Smelter Look-up'!$J:$J,0)))</f>
        <v>501</v>
      </c>
      <c r="X114" s="227">
        <f t="shared" si="15"/>
        <v>0</v>
      </c>
      <c r="AB114" s="228" t="str">
        <f t="shared" si="16"/>
        <v>TinPT Mitra Sukses Globalindo</v>
      </c>
    </row>
    <row r="115" spans="1:28" s="227" customFormat="1" ht="25.5">
      <c r="A115" s="181" t="s">
        <v>647</v>
      </c>
      <c r="B115" s="182" t="s">
        <v>1119</v>
      </c>
      <c r="C115" s="186" t="s">
        <v>15406</v>
      </c>
      <c r="D115" s="230"/>
      <c r="E115" s="182" t="s">
        <v>1091</v>
      </c>
      <c r="F115" s="182" t="s">
        <v>647</v>
      </c>
      <c r="G115" s="182" t="s">
        <v>13217</v>
      </c>
      <c r="H115" s="183">
        <v>0</v>
      </c>
      <c r="I115" s="184" t="s">
        <v>1535</v>
      </c>
      <c r="J115" s="184" t="s">
        <v>1536</v>
      </c>
      <c r="K115" s="224"/>
      <c r="L115" s="224"/>
      <c r="M115" s="224"/>
      <c r="N115" s="224"/>
      <c r="O115" s="224"/>
      <c r="P115" s="185"/>
      <c r="Q115" s="225"/>
      <c r="R115" s="182" t="s">
        <v>15406</v>
      </c>
      <c r="S115" s="181" t="str">
        <f t="shared" ca="1" si="18"/>
        <v>DE</v>
      </c>
      <c r="T115" s="181" t="str">
        <f ca="1">IF(B115="","",IF(ISERROR(MATCH($J115,[7]SorP!$B$1:$B$6279,0)),"",INDIRECT("'SorP'!$A$"&amp;MATCH($S115&amp;$J115,[7]SorP!C:C,0))))</f>
        <v>DE-BW</v>
      </c>
      <c r="U115" s="201"/>
      <c r="V115" s="226">
        <f>IF(C115="",NA(),IF(OR(C115="Smelter not listed",C115="Smelter not yet identified"),MATCH($B115&amp;$D115,'[7]Smelter Look-up'!$J:$J,0),MATCH($B115&amp;$C115,'[7]Smelter Look-up'!$J:$J,0)))</f>
        <v>10</v>
      </c>
      <c r="X115" s="227">
        <f t="shared" si="15"/>
        <v>0</v>
      </c>
      <c r="AB115" s="228" t="str">
        <f t="shared" si="16"/>
        <v>GoldAgosi AG</v>
      </c>
    </row>
    <row r="116" spans="1:28" s="227" customFormat="1" ht="51">
      <c r="A116" s="181" t="s">
        <v>672</v>
      </c>
      <c r="B116" s="182" t="s">
        <v>1119</v>
      </c>
      <c r="C116" s="186" t="s">
        <v>1029</v>
      </c>
      <c r="D116" s="230"/>
      <c r="E116" s="182" t="s">
        <v>1091</v>
      </c>
      <c r="F116" s="182" t="s">
        <v>672</v>
      </c>
      <c r="G116" s="182" t="s">
        <v>13217</v>
      </c>
      <c r="H116" s="183">
        <v>0</v>
      </c>
      <c r="I116" s="184" t="s">
        <v>1535</v>
      </c>
      <c r="J116" s="184" t="s">
        <v>1536</v>
      </c>
      <c r="K116" s="224"/>
      <c r="L116" s="224"/>
      <c r="M116" s="224"/>
      <c r="N116" s="224"/>
      <c r="O116" s="224"/>
      <c r="P116" s="185"/>
      <c r="Q116" s="225"/>
      <c r="R116" s="182" t="s">
        <v>1029</v>
      </c>
      <c r="S116" s="181" t="str">
        <f t="shared" ca="1" si="18"/>
        <v>DE</v>
      </c>
      <c r="T116" s="181" t="str">
        <f ca="1">IF(B116="","",IF(ISERROR(MATCH($J116,[7]SorP!$B$1:$B$6279,0)),"",INDIRECT("'SorP'!$A$"&amp;MATCH($S116&amp;$J116,[7]SorP!C:C,0))))</f>
        <v>DE-BW</v>
      </c>
      <c r="U116" s="201"/>
      <c r="V116" s="226">
        <f>IF(C116="",NA(),IF(OR(C116="Smelter not listed",C116="Smelter not yet identified"),MATCH($B116&amp;$D116,'[7]Smelter Look-up'!$J:$J,0),MATCH($B116&amp;$C116,'[7]Smelter Look-up'!$J:$J,0)))</f>
        <v>101</v>
      </c>
      <c r="X116" s="227">
        <f t="shared" si="15"/>
        <v>0</v>
      </c>
      <c r="AB116" s="228" t="str">
        <f t="shared" si="16"/>
        <v>GoldHeimerle + Meule GmbH</v>
      </c>
    </row>
    <row r="117" spans="1:28" s="227" customFormat="1" ht="25.5">
      <c r="A117" s="181" t="s">
        <v>758</v>
      </c>
      <c r="B117" s="182" t="s">
        <v>1120</v>
      </c>
      <c r="C117" s="186" t="s">
        <v>47</v>
      </c>
      <c r="D117" s="230"/>
      <c r="E117" s="182" t="s">
        <v>2415</v>
      </c>
      <c r="F117" s="182" t="s">
        <v>758</v>
      </c>
      <c r="G117" s="182" t="s">
        <v>13217</v>
      </c>
      <c r="H117" s="183">
        <v>0</v>
      </c>
      <c r="I117" s="184" t="s">
        <v>1746</v>
      </c>
      <c r="J117" s="184" t="s">
        <v>1725</v>
      </c>
      <c r="K117" s="224"/>
      <c r="L117" s="224"/>
      <c r="M117" s="224"/>
      <c r="N117" s="224"/>
      <c r="O117" s="224"/>
      <c r="P117" s="185"/>
      <c r="Q117" s="225"/>
      <c r="R117" s="182" t="s">
        <v>47</v>
      </c>
      <c r="S117" s="181" t="str">
        <f t="shared" ca="1" si="18"/>
        <v>US</v>
      </c>
      <c r="T117" s="181" t="str">
        <f ca="1">IF(B117="","",IF(ISERROR(MATCH($J117,[7]SorP!$B$1:$B$6279,0)),"",INDIRECT("'SorP'!$A$"&amp;MATCH($S117&amp;$J117,[7]SorP!C:C,0))))</f>
        <v>US-PA</v>
      </c>
      <c r="U117" s="201"/>
      <c r="V117" s="226">
        <f>IF(C117="",NA(),IF(OR(C117="Smelter not listed",C117="Smelter not yet identified"),MATCH($B117&amp;$D117,'[7]Smelter Look-up'!$J:$J,0),MATCH($B117&amp;$C117,'[7]Smelter Look-up'!$J:$J,0)))</f>
        <v>389</v>
      </c>
      <c r="X117" s="227">
        <f t="shared" si="15"/>
        <v>0</v>
      </c>
      <c r="AB117" s="228" t="str">
        <f t="shared" si="16"/>
        <v>TinAlpha</v>
      </c>
    </row>
    <row r="118" spans="1:28" s="227" customFormat="1" ht="51">
      <c r="A118" s="181" t="s">
        <v>13161</v>
      </c>
      <c r="B118" s="182" t="s">
        <v>1120</v>
      </c>
      <c r="C118" s="186" t="s">
        <v>13160</v>
      </c>
      <c r="D118" s="230"/>
      <c r="E118" s="182" t="s">
        <v>2415</v>
      </c>
      <c r="F118" s="182" t="s">
        <v>13161</v>
      </c>
      <c r="G118" s="182" t="s">
        <v>13217</v>
      </c>
      <c r="H118" s="183">
        <v>0</v>
      </c>
      <c r="I118" s="184" t="s">
        <v>13162</v>
      </c>
      <c r="J118" s="184" t="s">
        <v>1725</v>
      </c>
      <c r="K118" s="224"/>
      <c r="L118" s="224"/>
      <c r="M118" s="224"/>
      <c r="N118" s="224"/>
      <c r="O118" s="224"/>
      <c r="P118" s="185"/>
      <c r="Q118" s="225"/>
      <c r="R118" s="182" t="s">
        <v>13160</v>
      </c>
      <c r="S118" s="181" t="str">
        <f t="shared" ca="1" si="18"/>
        <v>US</v>
      </c>
      <c r="T118" s="181" t="str">
        <f ca="1">IF(B118="","",IF(ISERROR(MATCH($J118,[7]SorP!$B$1:$B$6279,0)),"",INDIRECT("'SorP'!$A$"&amp;MATCH($S118&amp;$J118,[7]SorP!C:C,0))))</f>
        <v>US-PA</v>
      </c>
      <c r="U118" s="201"/>
      <c r="V118" s="226">
        <f>IF(C118="",NA(),IF(OR(C118="Smelter not listed",C118="Smelter not yet identified"),MATCH($B118&amp;$D118,'[7]Smelter Look-up'!$J:$J,0),MATCH($B118&amp;$C118,'[7]Smelter Look-up'!$J:$J,0)))</f>
        <v>530</v>
      </c>
      <c r="X118" s="227">
        <f t="shared" si="15"/>
        <v>0</v>
      </c>
      <c r="AB118" s="228" t="str">
        <f t="shared" si="16"/>
        <v>TinTin Technology &amp; Refining</v>
      </c>
    </row>
    <row r="119" spans="1:28" s="227" customFormat="1" ht="63.75">
      <c r="A119" s="181" t="s">
        <v>765</v>
      </c>
      <c r="B119" s="182" t="s">
        <v>1120</v>
      </c>
      <c r="C119" s="186" t="s">
        <v>1315</v>
      </c>
      <c r="D119" s="230"/>
      <c r="E119" s="182" t="s">
        <v>1090</v>
      </c>
      <c r="F119" s="182" t="s">
        <v>765</v>
      </c>
      <c r="G119" s="182" t="s">
        <v>13217</v>
      </c>
      <c r="H119" s="183">
        <v>0</v>
      </c>
      <c r="I119" s="184" t="s">
        <v>1761</v>
      </c>
      <c r="J119" s="184" t="s">
        <v>13580</v>
      </c>
      <c r="K119" s="224"/>
      <c r="L119" s="224"/>
      <c r="M119" s="224"/>
      <c r="N119" s="224"/>
      <c r="O119" s="224"/>
      <c r="P119" s="185"/>
      <c r="Q119" s="225"/>
      <c r="R119" s="182" t="s">
        <v>1315</v>
      </c>
      <c r="S119" s="181" t="str">
        <f t="shared" ca="1" si="18"/>
        <v>CN</v>
      </c>
      <c r="T119" s="181" t="str">
        <f ca="1">IF(B119="","",IF(ISERROR(MATCH($J119,[7]SorP!$B$1:$B$6279,0)),"",INDIRECT("'SorP'!$A$"&amp;MATCH($S119&amp;$J119,[7]SorP!C:C,0))))</f>
        <v>CN-GX</v>
      </c>
      <c r="U119" s="201"/>
      <c r="V119" s="226">
        <f>IF(C119="",NA(),IF(OR(C119="Smelter not listed",C119="Smelter not yet identified"),MATCH($B119&amp;$D119,'[7]Smelter Look-up'!$J:$J,0),MATCH($B119&amp;$C119,'[7]Smelter Look-up'!$J:$J,0)))</f>
        <v>403</v>
      </c>
      <c r="X119" s="227">
        <f t="shared" si="15"/>
        <v>0</v>
      </c>
      <c r="AB119" s="228" t="str">
        <f t="shared" si="16"/>
        <v>TinChina Tin Group Co., Ltd.</v>
      </c>
    </row>
    <row r="120" spans="1:28" s="227" customFormat="1" ht="102">
      <c r="A120" s="181" t="s">
        <v>2512</v>
      </c>
      <c r="B120" s="182" t="s">
        <v>1120</v>
      </c>
      <c r="C120" s="186" t="s">
        <v>2511</v>
      </c>
      <c r="D120" s="230"/>
      <c r="E120" s="182" t="s">
        <v>1090</v>
      </c>
      <c r="F120" s="182" t="s">
        <v>2512</v>
      </c>
      <c r="G120" s="182" t="s">
        <v>13217</v>
      </c>
      <c r="H120" s="183">
        <v>0</v>
      </c>
      <c r="I120" s="184" t="s">
        <v>1810</v>
      </c>
      <c r="J120" s="184" t="s">
        <v>13601</v>
      </c>
      <c r="K120" s="224"/>
      <c r="L120" s="224"/>
      <c r="M120" s="224"/>
      <c r="N120" s="224"/>
      <c r="O120" s="224"/>
      <c r="P120" s="185"/>
      <c r="Q120" s="225"/>
      <c r="R120" s="182" t="s">
        <v>2511</v>
      </c>
      <c r="S120" s="181" t="str">
        <f t="shared" ca="1" si="18"/>
        <v>CN</v>
      </c>
      <c r="T120" s="181" t="str">
        <f ca="1">IF(B120="","",IF(ISERROR(MATCH($J120,[7]SorP!$B$1:$B$6279,0)),"",INDIRECT("'SorP'!$A$"&amp;MATCH($S120&amp;$J120,[7]SorP!C:C,0))))</f>
        <v>CN-GD</v>
      </c>
      <c r="U120" s="201"/>
      <c r="V120" s="226">
        <f>IF(C120="",NA(),IF(OR(C120="Smelter not listed",C120="Smelter not yet identified"),MATCH($B120&amp;$D120,'[7]Smelter Look-up'!$J:$J,0),MATCH($B120&amp;$C120,'[7]Smelter Look-up'!$J:$J,0)))</f>
        <v>442</v>
      </c>
      <c r="X120" s="227">
        <f t="shared" si="15"/>
        <v>0</v>
      </c>
      <c r="AB120" s="228" t="str">
        <f t="shared" si="16"/>
        <v>TinGuangdong Hanhe Non-Ferrous Metal Co., Ltd.</v>
      </c>
    </row>
    <row r="121" spans="1:28" s="227" customFormat="1" ht="102">
      <c r="A121" s="181" t="s">
        <v>781</v>
      </c>
      <c r="B121" s="182" t="s">
        <v>1120</v>
      </c>
      <c r="C121" s="186" t="s">
        <v>2150</v>
      </c>
      <c r="D121" s="230"/>
      <c r="E121" s="182" t="s">
        <v>1090</v>
      </c>
      <c r="F121" s="182" t="s">
        <v>781</v>
      </c>
      <c r="G121" s="182" t="s">
        <v>13217</v>
      </c>
      <c r="H121" s="183">
        <v>0</v>
      </c>
      <c r="I121" s="184" t="s">
        <v>2429</v>
      </c>
      <c r="J121" s="184" t="s">
        <v>13605</v>
      </c>
      <c r="K121" s="224"/>
      <c r="L121" s="224"/>
      <c r="M121" s="224"/>
      <c r="N121" s="224"/>
      <c r="O121" s="224"/>
      <c r="P121" s="185"/>
      <c r="Q121" s="225"/>
      <c r="R121" s="182" t="s">
        <v>2150</v>
      </c>
      <c r="S121" s="181" t="str">
        <f t="shared" ca="1" si="18"/>
        <v>CN</v>
      </c>
      <c r="T121" s="181" t="str">
        <f ca="1">IF(B121="","",IF(ISERROR(MATCH($J121,[7]SorP!$B$1:$B$6279,0)),"",INDIRECT("'SorP'!$A$"&amp;MATCH($S121&amp;$J121,[7]SorP!C:C,0))))</f>
        <v>CN-YN</v>
      </c>
      <c r="U121" s="201"/>
      <c r="V121" s="226">
        <f>IF(C121="",NA(),IF(OR(C121="Smelter not listed",C121="Smelter not yet identified"),MATCH($B121&amp;$D121,'[7]Smelter Look-up'!$J:$J,0),MATCH($B121&amp;$C121,'[7]Smelter Look-up'!$J:$J,0)))</f>
        <v>543</v>
      </c>
      <c r="X121" s="227">
        <f t="shared" si="15"/>
        <v>0</v>
      </c>
      <c r="AB121" s="228" t="str">
        <f t="shared" si="16"/>
        <v>TinYunnan Chengfeng Non-ferrous Metals Co., Ltd.</v>
      </c>
    </row>
    <row r="122" spans="1:28" s="227" customFormat="1" ht="102">
      <c r="A122" s="181" t="s">
        <v>782</v>
      </c>
      <c r="B122" s="182" t="s">
        <v>1120</v>
      </c>
      <c r="C122" s="186" t="s">
        <v>15436</v>
      </c>
      <c r="D122" s="230"/>
      <c r="E122" s="182" t="s">
        <v>1090</v>
      </c>
      <c r="F122" s="182" t="s">
        <v>782</v>
      </c>
      <c r="G122" s="182" t="s">
        <v>13217</v>
      </c>
      <c r="H122" s="183">
        <v>0</v>
      </c>
      <c r="I122" s="184" t="s">
        <v>2429</v>
      </c>
      <c r="J122" s="184" t="s">
        <v>13605</v>
      </c>
      <c r="K122" s="224"/>
      <c r="L122" s="224"/>
      <c r="M122" s="224"/>
      <c r="N122" s="224"/>
      <c r="O122" s="224"/>
      <c r="P122" s="185"/>
      <c r="Q122" s="225"/>
      <c r="R122" s="182" t="s">
        <v>15436</v>
      </c>
      <c r="S122" s="181" t="str">
        <f t="shared" ca="1" si="18"/>
        <v>CN</v>
      </c>
      <c r="T122" s="181" t="str">
        <f ca="1">IF(B122="","",IF(ISERROR(MATCH($J122,[7]SorP!$B$1:$B$6279,0)),"",INDIRECT("'SorP'!$A$"&amp;MATCH($S122&amp;$J122,[7]SorP!C:C,0))))</f>
        <v>CN-YN</v>
      </c>
      <c r="U122" s="201"/>
      <c r="V122" s="226">
        <f>IF(C122="",NA(),IF(OR(C122="Smelter not listed",C122="Smelter not yet identified"),MATCH($B122&amp;$D122,'[7]Smelter Look-up'!$J:$J,0),MATCH($B122&amp;$C122,'[7]Smelter Look-up'!$J:$J,0)))</f>
        <v>529</v>
      </c>
      <c r="X122" s="227">
        <f t="shared" si="15"/>
        <v>0</v>
      </c>
      <c r="AB122" s="228" t="str">
        <f t="shared" si="16"/>
        <v>TinTin Smelting Branch of Yunnan Tin Co., Ltd.</v>
      </c>
    </row>
    <row r="123" spans="1:28" s="227" customFormat="1" ht="38.25">
      <c r="A123" s="181" t="s">
        <v>15435</v>
      </c>
      <c r="B123" s="182" t="s">
        <v>1120</v>
      </c>
      <c r="C123" s="186" t="s">
        <v>15434</v>
      </c>
      <c r="D123" s="230"/>
      <c r="E123" s="182" t="s">
        <v>1095</v>
      </c>
      <c r="F123" s="182" t="s">
        <v>15435</v>
      </c>
      <c r="G123" s="182" t="s">
        <v>13217</v>
      </c>
      <c r="H123" s="183">
        <v>0</v>
      </c>
      <c r="I123" s="184" t="s">
        <v>15109</v>
      </c>
      <c r="J123" s="184" t="s">
        <v>12830</v>
      </c>
      <c r="K123" s="224"/>
      <c r="L123" s="224"/>
      <c r="M123" s="224"/>
      <c r="N123" s="224"/>
      <c r="O123" s="224"/>
      <c r="P123" s="185"/>
      <c r="Q123" s="225"/>
      <c r="R123" s="182" t="s">
        <v>15434</v>
      </c>
      <c r="S123" s="181" t="str">
        <f t="shared" ca="1" si="18"/>
        <v>ID</v>
      </c>
      <c r="T123" s="181" t="str">
        <f ca="1">IF(B123="","",IF(ISERROR(MATCH($J123,[7]SorP!$B$1:$B$6279,0)),"",INDIRECT("'SorP'!$A$"&amp;MATCH($S123&amp;$J123,[7]SorP!C:C,0))))</f>
        <v>ID-BB</v>
      </c>
      <c r="U123" s="201"/>
      <c r="V123" s="226">
        <f>IF(C123="",NA(),IF(OR(C123="Smelter not listed",C123="Smelter not yet identified"),MATCH($B123&amp;$D123,'[7]Smelter Look-up'!$J:$J,0),MATCH($B123&amp;$C123,'[7]Smelter Look-up'!$J:$J,0)))</f>
        <v>495</v>
      </c>
      <c r="X123" s="227">
        <f t="shared" si="15"/>
        <v>0</v>
      </c>
      <c r="AB123" s="228" t="str">
        <f t="shared" si="16"/>
        <v>TinPT Bukit Timah</v>
      </c>
    </row>
    <row r="124" spans="1:28" s="227" customFormat="1" ht="51">
      <c r="A124" s="181" t="s">
        <v>15443</v>
      </c>
      <c r="B124" s="182" t="s">
        <v>1120</v>
      </c>
      <c r="C124" s="186" t="s">
        <v>15442</v>
      </c>
      <c r="D124" s="230"/>
      <c r="E124" s="182" t="s">
        <v>1095</v>
      </c>
      <c r="F124" s="182" t="s">
        <v>15443</v>
      </c>
      <c r="G124" s="182" t="s">
        <v>13217</v>
      </c>
      <c r="H124" s="183">
        <v>0</v>
      </c>
      <c r="I124" s="184" t="s">
        <v>15444</v>
      </c>
      <c r="J124" s="184" t="s">
        <v>12830</v>
      </c>
      <c r="K124" s="224"/>
      <c r="L124" s="224"/>
      <c r="M124" s="224"/>
      <c r="N124" s="224"/>
      <c r="O124" s="224"/>
      <c r="P124" s="185"/>
      <c r="Q124" s="225"/>
      <c r="R124" s="182" t="s">
        <v>15442</v>
      </c>
      <c r="S124" s="181" t="str">
        <f t="shared" ca="1" si="18"/>
        <v>ID</v>
      </c>
      <c r="T124" s="181" t="str">
        <f ca="1">IF(B124="","",IF(ISERROR(MATCH($J124,[7]SorP!$B$1:$B$6279,0)),"",INDIRECT("'SorP'!$A$"&amp;MATCH($S124&amp;$J124,[7]SorP!C:C,0))))</f>
        <v>ID-BB</v>
      </c>
      <c r="U124" s="201"/>
      <c r="V124" s="226">
        <f>IF(C124="",NA(),IF(OR(C124="Smelter not listed",C124="Smelter not yet identified"),MATCH($B124&amp;$D124,'[7]Smelter Look-up'!$J:$J,0),MATCH($B124&amp;$C124,'[7]Smelter Look-up'!$J:$J,0)))</f>
        <v>489</v>
      </c>
      <c r="X124" s="227">
        <f t="shared" si="15"/>
        <v>0</v>
      </c>
      <c r="AB124" s="228" t="str">
        <f t="shared" si="16"/>
        <v>TinPT Babel Inti Perkasa</v>
      </c>
    </row>
    <row r="125" spans="1:28" s="227" customFormat="1" ht="51">
      <c r="A125" s="181" t="s">
        <v>15448</v>
      </c>
      <c r="B125" s="182" t="s">
        <v>1120</v>
      </c>
      <c r="C125" s="186" t="s">
        <v>15447</v>
      </c>
      <c r="D125" s="230"/>
      <c r="E125" s="182" t="s">
        <v>1095</v>
      </c>
      <c r="F125" s="182" t="s">
        <v>15448</v>
      </c>
      <c r="G125" s="182" t="s">
        <v>13217</v>
      </c>
      <c r="H125" s="183">
        <v>0</v>
      </c>
      <c r="I125" s="184" t="s">
        <v>15449</v>
      </c>
      <c r="J125" s="184" t="s">
        <v>1776</v>
      </c>
      <c r="K125" s="224"/>
      <c r="L125" s="224"/>
      <c r="M125" s="224"/>
      <c r="N125" s="224"/>
      <c r="O125" s="224"/>
      <c r="P125" s="185"/>
      <c r="Q125" s="225"/>
      <c r="R125" s="182" t="s">
        <v>15447</v>
      </c>
      <c r="S125" s="181" t="str">
        <f t="shared" ca="1" si="18"/>
        <v>ID</v>
      </c>
      <c r="T125" s="181" t="str">
        <f ca="1">IF(B125="","",IF(ISERROR(MATCH($J125,[7]SorP!$B$1:$B$6279,0)),"",INDIRECT("'SorP'!$A$"&amp;MATCH($S125&amp;$J125,[7]SorP!C:C,0))))</f>
        <v>ID-KR</v>
      </c>
      <c r="U125" s="201"/>
      <c r="V125" s="226">
        <f>IF(C125="",NA(),IF(OR(C125="Smelter not listed",C125="Smelter not yet identified"),MATCH($B125&amp;$D125,'[7]Smelter Look-up'!$J:$J,0),MATCH($B125&amp;$C125,'[7]Smelter Look-up'!$J:$J,0)))</f>
        <v>496</v>
      </c>
      <c r="X125" s="227">
        <f t="shared" si="15"/>
        <v>0</v>
      </c>
      <c r="AB125" s="228" t="str">
        <f t="shared" si="16"/>
        <v>TinPT Cipta Persada Mulia</v>
      </c>
    </row>
    <row r="126" spans="1:28" s="227" customFormat="1" ht="76.5">
      <c r="A126" s="181" t="s">
        <v>769</v>
      </c>
      <c r="B126" s="182" t="s">
        <v>1120</v>
      </c>
      <c r="C126" s="186" t="s">
        <v>1153</v>
      </c>
      <c r="D126" s="230"/>
      <c r="E126" s="182" t="s">
        <v>1098</v>
      </c>
      <c r="F126" s="182" t="s">
        <v>769</v>
      </c>
      <c r="G126" s="182" t="s">
        <v>13217</v>
      </c>
      <c r="H126" s="183">
        <v>0</v>
      </c>
      <c r="I126" s="184" t="s">
        <v>1534</v>
      </c>
      <c r="J126" s="184" t="s">
        <v>1534</v>
      </c>
      <c r="K126" s="224"/>
      <c r="L126" s="224"/>
      <c r="M126" s="224"/>
      <c r="N126" s="224"/>
      <c r="O126" s="224"/>
      <c r="P126" s="185"/>
      <c r="Q126" s="225"/>
      <c r="R126" s="182" t="s">
        <v>1153</v>
      </c>
      <c r="S126" s="181" t="str">
        <f t="shared" ca="1" si="18"/>
        <v>JP</v>
      </c>
      <c r="T126" s="181" t="str">
        <f ca="1">IF(B126="","",IF(ISERROR(MATCH($J126,[7]SorP!$B$1:$B$6279,0)),"",INDIRECT("'SorP'!$A$"&amp;MATCH($S126&amp;$J126,[7]SorP!C:C,0))))</f>
        <v>JP-13</v>
      </c>
      <c r="U126" s="201"/>
      <c r="V126" s="226">
        <f>IF(C126="",NA(),IF(OR(C126="Smelter not listed",C126="Smelter not yet identified"),MATCH($B126&amp;$D126,'[7]Smelter Look-up'!$J:$J,0),MATCH($B126&amp;$C126,'[7]Smelter Look-up'!$J:$J,0)))</f>
        <v>471</v>
      </c>
      <c r="X126" s="227">
        <f t="shared" si="15"/>
        <v>0</v>
      </c>
      <c r="AB126" s="228" t="str">
        <f t="shared" si="16"/>
        <v>TinMitsubishi Materials Corporation</v>
      </c>
    </row>
    <row r="127" spans="1:28" s="227" customFormat="1" ht="51">
      <c r="A127" s="181" t="s">
        <v>1767</v>
      </c>
      <c r="B127" s="182" t="s">
        <v>1120</v>
      </c>
      <c r="C127" s="186" t="s">
        <v>2133</v>
      </c>
      <c r="D127" s="230"/>
      <c r="E127" s="182" t="s">
        <v>2415</v>
      </c>
      <c r="F127" s="182" t="s">
        <v>1767</v>
      </c>
      <c r="G127" s="182" t="s">
        <v>13217</v>
      </c>
      <c r="H127" s="183">
        <v>0</v>
      </c>
      <c r="I127" s="184" t="s">
        <v>1768</v>
      </c>
      <c r="J127" s="184" t="s">
        <v>1627</v>
      </c>
      <c r="K127" s="224"/>
      <c r="L127" s="224"/>
      <c r="M127" s="224"/>
      <c r="N127" s="224"/>
      <c r="O127" s="224"/>
      <c r="P127" s="185"/>
      <c r="Q127" s="225"/>
      <c r="R127" s="182" t="s">
        <v>2133</v>
      </c>
      <c r="S127" s="181" t="str">
        <f t="shared" ca="1" si="18"/>
        <v>US</v>
      </c>
      <c r="T127" s="181" t="str">
        <f ca="1">IF(B127="","",IF(ISERROR(MATCH($J127,[7]SorP!$B$1:$B$6279,0)),"",INDIRECT("'SorP'!$A$"&amp;MATCH($S127&amp;$J127,[7]SorP!C:C,0))))</f>
        <v>US-OH</v>
      </c>
      <c r="U127" s="201"/>
      <c r="V127" s="226">
        <f>IF(C127="",NA(),IF(OR(C127="Smelter not listed",C127="Smelter not yet identified"),MATCH($B127&amp;$D127,'[7]Smelter Look-up'!$J:$J,0),MATCH($B127&amp;$C127,'[7]Smelter Look-up'!$J:$J,0)))</f>
        <v>462</v>
      </c>
      <c r="X127" s="227">
        <f t="shared" si="15"/>
        <v>0</v>
      </c>
      <c r="AB127" s="228" t="str">
        <f t="shared" si="16"/>
        <v>TinMetallic Resources, Inc.</v>
      </c>
    </row>
    <row r="128" spans="1:28" s="227" customFormat="1" ht="25.5">
      <c r="A128" s="181" t="s">
        <v>778</v>
      </c>
      <c r="B128" s="182" t="s">
        <v>1120</v>
      </c>
      <c r="C128" s="186" t="s">
        <v>777</v>
      </c>
      <c r="D128" s="230"/>
      <c r="E128" s="182" t="s">
        <v>2414</v>
      </c>
      <c r="F128" s="182" t="s">
        <v>778</v>
      </c>
      <c r="G128" s="182" t="s">
        <v>13217</v>
      </c>
      <c r="H128" s="183">
        <v>0</v>
      </c>
      <c r="I128" s="184" t="s">
        <v>13804</v>
      </c>
      <c r="J128" s="184" t="s">
        <v>1691</v>
      </c>
      <c r="K128" s="224"/>
      <c r="L128" s="224"/>
      <c r="M128" s="224"/>
      <c r="N128" s="224"/>
      <c r="O128" s="224"/>
      <c r="P128" s="185"/>
      <c r="Q128" s="225"/>
      <c r="R128" s="182" t="s">
        <v>777</v>
      </c>
      <c r="S128" s="181" t="str">
        <f t="shared" ca="1" si="18"/>
        <v>TW</v>
      </c>
      <c r="T128" s="181" t="str">
        <f ca="1">IF(B128="","",IF(ISERROR(MATCH($J128,[7]SorP!$B$1:$B$6279,0)),"",INDIRECT("'SorP'!$A$"&amp;MATCH($S128&amp;$J128,[7]SorP!C:C,0))))</f>
        <v>TW-TAO</v>
      </c>
      <c r="U128" s="201"/>
      <c r="V128" s="226">
        <f>IF(C128="",NA(),IF(OR(C128="Smelter not listed",C128="Smelter not yet identified"),MATCH($B128&amp;$D128,'[7]Smelter Look-up'!$J:$J,0),MATCH($B128&amp;$C128,'[7]Smelter Look-up'!$J:$J,0)))</f>
        <v>521</v>
      </c>
      <c r="X128" s="227">
        <f t="shared" si="15"/>
        <v>0</v>
      </c>
      <c r="AB128" s="228" t="str">
        <f t="shared" si="16"/>
        <v>TinRui Da Hung</v>
      </c>
    </row>
    <row r="129" spans="1:28" s="227" customFormat="1" ht="20.25">
      <c r="A129" s="181" t="s">
        <v>1398</v>
      </c>
      <c r="B129" s="182" t="s">
        <v>1120</v>
      </c>
      <c r="C129" s="186" t="s">
        <v>896</v>
      </c>
      <c r="D129" s="230"/>
      <c r="E129" s="182" t="s">
        <v>1098</v>
      </c>
      <c r="F129" s="182" t="s">
        <v>1398</v>
      </c>
      <c r="G129" s="182" t="s">
        <v>13217</v>
      </c>
      <c r="H129" s="183">
        <v>0</v>
      </c>
      <c r="I129" s="184" t="s">
        <v>1567</v>
      </c>
      <c r="J129" s="184" t="s">
        <v>1568</v>
      </c>
      <c r="K129" s="224"/>
      <c r="L129" s="224"/>
      <c r="M129" s="224"/>
      <c r="N129" s="224"/>
      <c r="O129" s="224"/>
      <c r="P129" s="185"/>
      <c r="Q129" s="225"/>
      <c r="R129" s="182" t="s">
        <v>896</v>
      </c>
      <c r="S129" s="181" t="str">
        <f t="shared" ca="1" si="18"/>
        <v>JP</v>
      </c>
      <c r="T129" s="181" t="str">
        <f ca="1">IF(B129="","",IF(ISERROR(MATCH($J129,[7]SorP!$B$1:$B$6279,0)),"",INDIRECT("'SorP'!$A$"&amp;MATCH($S129&amp;$J129,[7]SorP!C:C,0))))</f>
        <v>JP-05</v>
      </c>
      <c r="U129" s="201"/>
      <c r="V129" s="226">
        <f>IF(C129="",NA(),IF(OR(C129="Smelter not listed",C129="Smelter not yet identified"),MATCH($B129&amp;$D129,'[7]Smelter Look-up'!$J:$J,0),MATCH($B129&amp;$C129,'[7]Smelter Look-up'!$J:$J,0)))</f>
        <v>417</v>
      </c>
      <c r="X129" s="227">
        <f t="shared" si="15"/>
        <v>0</v>
      </c>
      <c r="AB129" s="228" t="str">
        <f t="shared" si="16"/>
        <v>TinDowa</v>
      </c>
    </row>
    <row r="130" spans="1:28" s="227" customFormat="1" ht="76.5">
      <c r="A130" s="181" t="s">
        <v>1774</v>
      </c>
      <c r="B130" s="182" t="s">
        <v>1120</v>
      </c>
      <c r="C130" s="186" t="s">
        <v>13158</v>
      </c>
      <c r="D130" s="230"/>
      <c r="E130" s="182" t="s">
        <v>1090</v>
      </c>
      <c r="F130" s="182" t="s">
        <v>1774</v>
      </c>
      <c r="G130" s="182" t="s">
        <v>13217</v>
      </c>
      <c r="H130" s="183">
        <v>0</v>
      </c>
      <c r="I130" s="184" t="s">
        <v>1759</v>
      </c>
      <c r="J130" s="184" t="s">
        <v>13596</v>
      </c>
      <c r="K130" s="224"/>
      <c r="L130" s="224"/>
      <c r="M130" s="224"/>
      <c r="N130" s="224"/>
      <c r="O130" s="224"/>
      <c r="P130" s="185"/>
      <c r="Q130" s="225"/>
      <c r="R130" s="182" t="s">
        <v>13158</v>
      </c>
      <c r="S130" s="181" t="str">
        <f t="shared" ca="1" si="18"/>
        <v>CN</v>
      </c>
      <c r="T130" s="181" t="str">
        <f ca="1">IF(B130="","",IF(ISERROR(MATCH($J130,[7]SorP!$B$1:$B$6279,0)),"",INDIRECT("'SorP'!$A$"&amp;MATCH($S130&amp;$J130,[7]SorP!C:C,0))))</f>
        <v>CN-JX</v>
      </c>
      <c r="U130" s="201"/>
      <c r="V130" s="226">
        <f>IF(C130="",NA(),IF(OR(C130="Smelter not listed",C130="Smelter not yet identified"),MATCH($B130&amp;$D130,'[7]Smelter Look-up'!$J:$J,0),MATCH($B130&amp;$C130,'[7]Smelter Look-up'!$J:$J,0)))</f>
        <v>450</v>
      </c>
      <c r="X130" s="227">
        <f t="shared" si="15"/>
        <v>0</v>
      </c>
      <c r="AB130" s="228" t="str">
        <f t="shared" si="16"/>
        <v>TinJiangxi New Nanshan Technology Ltd.</v>
      </c>
    </row>
    <row r="131" spans="1:28" s="227" customFormat="1" ht="89.25">
      <c r="A131" s="181" t="s">
        <v>762</v>
      </c>
      <c r="B131" s="182" t="s">
        <v>1120</v>
      </c>
      <c r="C131" s="186" t="s">
        <v>2128</v>
      </c>
      <c r="D131" s="230"/>
      <c r="E131" s="182" t="s">
        <v>1090</v>
      </c>
      <c r="F131" s="182" t="s">
        <v>762</v>
      </c>
      <c r="G131" s="182" t="s">
        <v>13217</v>
      </c>
      <c r="H131" s="183">
        <v>0</v>
      </c>
      <c r="I131" s="184" t="s">
        <v>2429</v>
      </c>
      <c r="J131" s="184" t="s">
        <v>13605</v>
      </c>
      <c r="K131" s="224"/>
      <c r="L131" s="224"/>
      <c r="M131" s="224"/>
      <c r="N131" s="224"/>
      <c r="O131" s="224"/>
      <c r="P131" s="185"/>
      <c r="Q131" s="225"/>
      <c r="R131" s="182" t="s">
        <v>2128</v>
      </c>
      <c r="S131" s="181" t="str">
        <f t="shared" ca="1" si="18"/>
        <v>CN</v>
      </c>
      <c r="T131" s="181" t="str">
        <f ca="1">IF(B131="","",IF(ISERROR(MATCH($J131,[7]SorP!$B$1:$B$6279,0)),"",INDIRECT("'SorP'!$A$"&amp;MATCH($S131&amp;$J131,[7]SorP!C:C,0))))</f>
        <v>CN-YN</v>
      </c>
      <c r="U131" s="201"/>
      <c r="V131" s="226">
        <f>IF(C131="",NA(),IF(OR(C131="Smelter not listed",C131="Smelter not yet identified"),MATCH($B131&amp;$D131,'[7]Smelter Look-up'!$J:$J,0),MATCH($B131&amp;$C131,'[7]Smelter Look-up'!$J:$J,0)))</f>
        <v>436</v>
      </c>
      <c r="X131" s="227">
        <f t="shared" si="15"/>
        <v>0</v>
      </c>
      <c r="AB131" s="228" t="str">
        <f t="shared" si="16"/>
        <v>TinGejiu Non-Ferrous Metal Processing Co., Ltd.</v>
      </c>
    </row>
    <row r="132" spans="1:28" s="227" customFormat="1" ht="38.25">
      <c r="A132" s="181" t="s">
        <v>15060</v>
      </c>
      <c r="B132" s="182" t="s">
        <v>1120</v>
      </c>
      <c r="C132" s="186" t="s">
        <v>15059</v>
      </c>
      <c r="D132" s="230"/>
      <c r="E132" s="182" t="s">
        <v>1092</v>
      </c>
      <c r="F132" s="182" t="s">
        <v>15060</v>
      </c>
      <c r="G132" s="182" t="s">
        <v>13217</v>
      </c>
      <c r="H132" s="183">
        <v>0</v>
      </c>
      <c r="I132" s="184" t="s">
        <v>3633</v>
      </c>
      <c r="J132" s="184" t="s">
        <v>3633</v>
      </c>
      <c r="K132" s="224"/>
      <c r="L132" s="224"/>
      <c r="M132" s="224"/>
      <c r="N132" s="224"/>
      <c r="O132" s="224"/>
      <c r="P132" s="185"/>
      <c r="Q132" s="225"/>
      <c r="R132" s="182" t="s">
        <v>15059</v>
      </c>
      <c r="S132" s="181" t="str">
        <f t="shared" ca="1" si="18"/>
        <v>ES</v>
      </c>
      <c r="T132" s="181" t="str">
        <f ca="1">IF(B132="","",IF(ISERROR(MATCH($J132,[7]SorP!$B$1:$B$6279,0)),"",INDIRECT("'SorP'!$A$"&amp;MATCH($S132&amp;$J132,[7]SorP!C:C,0))))</f>
        <v>ES-TO</v>
      </c>
      <c r="U132" s="201"/>
      <c r="V132" s="226">
        <f>IF(C132="",NA(),IF(OR(C132="Smelter not listed",C132="Smelter not yet identified"),MATCH($B132&amp;$D132,'[7]Smelter Look-up'!$J:$J,0),MATCH($B132&amp;$C132,'[7]Smelter Look-up'!$J:$J,0)))</f>
        <v>411</v>
      </c>
      <c r="X132" s="227">
        <f t="shared" si="15"/>
        <v>0</v>
      </c>
      <c r="AB132" s="228" t="str">
        <f t="shared" si="16"/>
        <v>TinCRM Synergies</v>
      </c>
    </row>
    <row r="133" spans="1:28" s="227" customFormat="1" ht="38.25">
      <c r="A133" s="181" t="s">
        <v>15807</v>
      </c>
      <c r="B133" s="182" t="s">
        <v>1120</v>
      </c>
      <c r="C133" s="186" t="s">
        <v>15806</v>
      </c>
      <c r="D133" s="230"/>
      <c r="E133" s="182" t="s">
        <v>1095</v>
      </c>
      <c r="F133" s="182" t="s">
        <v>15807</v>
      </c>
      <c r="G133" s="182" t="s">
        <v>13217</v>
      </c>
      <c r="H133" s="183" t="s">
        <v>15876</v>
      </c>
      <c r="I133" s="184" t="s">
        <v>15109</v>
      </c>
      <c r="J133" s="184" t="s">
        <v>12830</v>
      </c>
      <c r="K133" s="224"/>
      <c r="L133" s="224"/>
      <c r="M133" s="224"/>
      <c r="N133" s="224"/>
      <c r="O133" s="224"/>
      <c r="P133" s="185"/>
      <c r="Q133" s="225"/>
      <c r="R133" s="182" t="s">
        <v>15876</v>
      </c>
      <c r="S133" s="181" t="str">
        <f t="shared" ca="1" si="18"/>
        <v>ID</v>
      </c>
      <c r="T133" s="181" t="str">
        <f ca="1">IF(B133="","",IF(ISERROR(MATCH($J133,[7]SorP!$B$1:$B$6279,0)),"",INDIRECT("'SorP'!$A$"&amp;MATCH($S133&amp;$J133,[7]SorP!C:C,0))))</f>
        <v>ID-BB</v>
      </c>
      <c r="U133" s="201"/>
      <c r="V133" s="226" t="e">
        <f>IF(C133="",NA(),IF(OR(C133="Smelter not listed",C133="Smelter not yet identified"),MATCH($B133&amp;$D133,'[7]Smelter Look-up'!$J:$J,0),MATCH($B133&amp;$C133,'[7]Smelter Look-up'!$J:$J,0)))</f>
        <v>#N/A</v>
      </c>
      <c r="X133" s="227">
        <f t="shared" si="15"/>
        <v>0</v>
      </c>
      <c r="AB133" s="228" t="str">
        <f t="shared" si="16"/>
        <v>TinPT Rajehan Ariq</v>
      </c>
    </row>
    <row r="134" spans="1:28" s="227" customFormat="1" ht="38.25">
      <c r="A134" s="181" t="s">
        <v>1803</v>
      </c>
      <c r="B134" s="182" t="s">
        <v>1120</v>
      </c>
      <c r="C134" s="186" t="s">
        <v>15497</v>
      </c>
      <c r="D134" s="230"/>
      <c r="E134" s="182" t="s">
        <v>1092</v>
      </c>
      <c r="F134" s="182" t="s">
        <v>1803</v>
      </c>
      <c r="G134" s="182" t="s">
        <v>13217</v>
      </c>
      <c r="H134" s="183">
        <v>0</v>
      </c>
      <c r="I134" s="184" t="s">
        <v>1804</v>
      </c>
      <c r="J134" s="184" t="s">
        <v>12390</v>
      </c>
      <c r="K134" s="224"/>
      <c r="L134" s="224"/>
      <c r="M134" s="224"/>
      <c r="N134" s="224"/>
      <c r="O134" s="224"/>
      <c r="P134" s="185"/>
      <c r="Q134" s="225"/>
      <c r="R134" s="182" t="s">
        <v>15497</v>
      </c>
      <c r="S134" s="181" t="str">
        <f t="shared" ref="S134" ca="1" si="19">IF(B134="","",IF(ISERROR(MATCH($E134,CL,0)),"Unknown",INDIRECT("'C'!$A$"&amp;MATCH($E134,CL,0)+1)))</f>
        <v>ES</v>
      </c>
      <c r="T134" s="181" t="str">
        <f ca="1">IF(B134="","",IF(ISERROR(MATCH($J134,[7]SorP!$B$1:$B$6279,0)),"",INDIRECT("'SorP'!$A$"&amp;MATCH($S134&amp;$J134,[7]SorP!C:C,0))))</f>
        <v>ES-BI</v>
      </c>
      <c r="U134" s="201"/>
      <c r="V134" s="226">
        <f>IF(C134="",NA(),IF(OR(C134="Smelter not listed",C134="Smelter not yet identified"),MATCH($B134&amp;$D134,'[7]Smelter Look-up'!$J:$J,0),MATCH($B134&amp;$C134,'[7]Smelter Look-up'!$J:$J,0)))</f>
        <v>395</v>
      </c>
      <c r="X134" s="227">
        <f t="shared" si="15"/>
        <v>0</v>
      </c>
      <c r="AB134" s="228" t="str">
        <f t="shared" si="16"/>
        <v>TinAurubis Berango</v>
      </c>
    </row>
    <row r="135" spans="1:28" s="227" customFormat="1" ht="51">
      <c r="A135" s="181" t="s">
        <v>15088</v>
      </c>
      <c r="B135" s="182" t="s">
        <v>1120</v>
      </c>
      <c r="C135" s="186" t="s">
        <v>15087</v>
      </c>
      <c r="D135" s="230"/>
      <c r="E135" s="182" t="s">
        <v>1095</v>
      </c>
      <c r="F135" s="182" t="s">
        <v>15088</v>
      </c>
      <c r="G135" s="182" t="s">
        <v>13217</v>
      </c>
      <c r="H135" s="183">
        <v>0</v>
      </c>
      <c r="I135" s="184" t="s">
        <v>15109</v>
      </c>
      <c r="J135" s="184" t="s">
        <v>12830</v>
      </c>
      <c r="K135" s="224"/>
      <c r="L135" s="224"/>
      <c r="M135" s="224"/>
      <c r="N135" s="224"/>
      <c r="O135" s="224"/>
      <c r="P135" s="185"/>
      <c r="Q135" s="225"/>
      <c r="R135" s="182" t="s">
        <v>15087</v>
      </c>
      <c r="S135" s="181" t="str">
        <f t="shared" ref="S135:S137" ca="1" si="20">IF(B135="","",IF(ISERROR(MATCH($E135,CL,0)),"Unknown",INDIRECT("'C'!$A$"&amp;MATCH($E135,CL,0)+1)))</f>
        <v>ID</v>
      </c>
      <c r="T135" s="181" t="str">
        <f ca="1">IF(B135="","",IF(ISERROR(MATCH($J135,[7]SorP!$B$1:$B$6279,0)),"",INDIRECT("'SorP'!$A$"&amp;MATCH($S135&amp;$J135,[7]SorP!C:C,0))))</f>
        <v>ID-BB</v>
      </c>
      <c r="U135" s="201"/>
      <c r="V135" s="226">
        <f>IF(C135="",NA(),IF(OR(C135="Smelter not listed",C135="Smelter not yet identified"),MATCH($B135&amp;$D135,'[7]Smelter Look-up'!$J:$J,0),MATCH($B135&amp;$C135,'[7]Smelter Look-up'!$J:$J,0)))</f>
        <v>515</v>
      </c>
      <c r="X135" s="227">
        <f t="shared" si="15"/>
        <v>0</v>
      </c>
      <c r="AB135" s="228" t="str">
        <f t="shared" si="16"/>
        <v>TinPT Tinindo Inter Nusa</v>
      </c>
    </row>
    <row r="136" spans="1:28" s="227" customFormat="1" ht="51">
      <c r="A136" s="181" t="s">
        <v>15065</v>
      </c>
      <c r="B136" s="182" t="s">
        <v>1120</v>
      </c>
      <c r="C136" s="186" t="s">
        <v>15064</v>
      </c>
      <c r="D136" s="230"/>
      <c r="E136" s="182" t="s">
        <v>1095</v>
      </c>
      <c r="F136" s="182" t="s">
        <v>15065</v>
      </c>
      <c r="G136" s="182" t="s">
        <v>13217</v>
      </c>
      <c r="H136" s="183">
        <v>0</v>
      </c>
      <c r="I136" s="184" t="s">
        <v>15109</v>
      </c>
      <c r="J136" s="184" t="s">
        <v>12830</v>
      </c>
      <c r="K136" s="224"/>
      <c r="L136" s="224"/>
      <c r="M136" s="224"/>
      <c r="N136" s="224"/>
      <c r="O136" s="224"/>
      <c r="P136" s="185"/>
      <c r="Q136" s="225"/>
      <c r="R136" s="182" t="s">
        <v>15064</v>
      </c>
      <c r="S136" s="181" t="str">
        <f t="shared" ca="1" si="20"/>
        <v>ID</v>
      </c>
      <c r="T136" s="181" t="str">
        <f ca="1">IF(B136="","",IF(ISERROR(MATCH($J136,[7]SorP!$B$1:$B$6279,0)),"",INDIRECT("'SorP'!$A$"&amp;MATCH($S136&amp;$J136,[7]SorP!C:C,0))))</f>
        <v>ID-BB</v>
      </c>
      <c r="U136" s="201"/>
      <c r="V136" s="226">
        <f>IF(C136="",NA(),IF(OR(C136="Smelter not listed",C136="Smelter not yet identified"),MATCH($B136&amp;$D136,'[7]Smelter Look-up'!$J:$J,0),MATCH($B136&amp;$C136,'[7]Smelter Look-up'!$J:$J,0)))</f>
        <v>415</v>
      </c>
      <c r="X136" s="227">
        <f t="shared" si="15"/>
        <v>0</v>
      </c>
      <c r="AB136" s="228" t="str">
        <f t="shared" si="16"/>
        <v>TinCV Venus Inti Perkasa</v>
      </c>
    </row>
    <row r="137" spans="1:28" s="227" customFormat="1" ht="102">
      <c r="A137" s="181" t="s">
        <v>15068</v>
      </c>
      <c r="B137" s="182" t="s">
        <v>1120</v>
      </c>
      <c r="C137" s="186" t="s">
        <v>15067</v>
      </c>
      <c r="D137" s="230"/>
      <c r="E137" s="182" t="s">
        <v>1086</v>
      </c>
      <c r="F137" s="182" t="s">
        <v>15068</v>
      </c>
      <c r="G137" s="182" t="s">
        <v>13217</v>
      </c>
      <c r="H137" s="183">
        <v>0</v>
      </c>
      <c r="I137" s="184" t="s">
        <v>15110</v>
      </c>
      <c r="J137" s="184" t="s">
        <v>1666</v>
      </c>
      <c r="K137" s="224"/>
      <c r="L137" s="224"/>
      <c r="M137" s="224"/>
      <c r="N137" s="224"/>
      <c r="O137" s="224"/>
      <c r="P137" s="185"/>
      <c r="Q137" s="225"/>
      <c r="R137" s="182" t="s">
        <v>15067</v>
      </c>
      <c r="S137" s="181" t="str">
        <f t="shared" ca="1" si="20"/>
        <v>BR</v>
      </c>
      <c r="T137" s="181" t="str">
        <f ca="1">IF(B137="","",IF(ISERROR(MATCH($J137,[7]SorP!$B$1:$B$6279,0)),"",INDIRECT("'SorP'!$A$"&amp;MATCH($S137&amp;$J137,[7]SorP!C:C,0))))</f>
        <v>BR-SP</v>
      </c>
      <c r="U137" s="201"/>
      <c r="V137" s="226">
        <f>IF(C137="",NA(),IF(OR(C137="Smelter not listed",C137="Smelter not yet identified"),MATCH($B137&amp;$D137,'[7]Smelter Look-up'!$J:$J,0),MATCH($B137&amp;$C137,'[7]Smelter Look-up'!$J:$J,0)))</f>
        <v>429</v>
      </c>
      <c r="X137" s="227">
        <f t="shared" si="15"/>
        <v>0</v>
      </c>
      <c r="AB137" s="228" t="str">
        <f t="shared" si="16"/>
        <v>TinFabrica Auricchio Industria e Comercio Ltda.</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ref="S138:S165" ca="1" si="21">IF(B138="","",IF(ISERROR(MATCH($E138,CL,0)),"Unknown",INDIRECT("'C'!$A$"&amp;MATCH($E138,CL,0)+1)))</f>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ref="X138:X165" ca="1" si="22">IF(AND(C138="Smelter not listed",OR(LEN(D138)=0,LEN(E138)=0)),1,0)</f>
        <v>0</v>
      </c>
      <c r="AB138" s="228" t="str">
        <f t="shared" ref="AB138:AB165" si="23">B138&amp;C138</f>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38:B2504">
    <cfRule type="expression" dxfId="128" priority="91" stopIfTrue="1">
      <formula>IF(B138="",TRUE)</formula>
    </cfRule>
    <cfRule type="expression" dxfId="127" priority="92" stopIfTrue="1">
      <formula>IF(AND(COUNTIF(MetalSmelter,B138&amp;C138)=0,LEN(C138)&gt;0),TRUE,FALSE)</formula>
    </cfRule>
  </conditionalFormatting>
  <conditionalFormatting sqref="C138:C2504">
    <cfRule type="expression" dxfId="126" priority="99" stopIfTrue="1">
      <formula>IF(AND(B138&lt;&gt;"",C138=""),TRUE)</formula>
    </cfRule>
  </conditionalFormatting>
  <conditionalFormatting sqref="D138:D2504">
    <cfRule type="expression" dxfId="125" priority="103" stopIfTrue="1">
      <formula>IF(AND(LEN($C138)&gt;0,AND($C138&lt;&gt;"Smelter Not Listed",ISBLANK($D138))),1,0)</formula>
    </cfRule>
    <cfRule type="expression" dxfId="124" priority="110" stopIfTrue="1">
      <formula>IF(AND(D138="",$C138=$X$4),TRUE)</formula>
    </cfRule>
    <cfRule type="expression" dxfId="123" priority="111" stopIfTrue="1">
      <formula>IF(FIND("!",D138),TRUE)</formula>
    </cfRule>
  </conditionalFormatting>
  <conditionalFormatting sqref="E138:E2504 R138:R2504">
    <cfRule type="expression" dxfId="122" priority="97" stopIfTrue="1">
      <formula>IF(AND(E138="",$C138=$X$4),TRUE)</formula>
    </cfRule>
    <cfRule type="expression" dxfId="121" priority="98" stopIfTrue="1">
      <formula>IF(FIND("!",E138),TRUE)</formula>
    </cfRule>
  </conditionalFormatting>
  <conditionalFormatting sqref="F138:F2504">
    <cfRule type="expression" dxfId="120" priority="95" stopIfTrue="1">
      <formula>IF(AND(LEN($A138)&gt;0,$A138&lt;&gt;$F138),TRUE,FALSE)</formula>
    </cfRule>
  </conditionalFormatting>
  <conditionalFormatting sqref="G138:G2504">
    <cfRule type="expression" dxfId="119" priority="112" stopIfTrue="1">
      <formula>IF(FIND("Enter smelter details",G138),TRUE)</formula>
    </cfRule>
  </conditionalFormatting>
  <conditionalFormatting sqref="B85:B87">
    <cfRule type="expression" dxfId="118" priority="83" stopIfTrue="1">
      <formula>IF(B85="",TRUE)</formula>
    </cfRule>
    <cfRule type="expression" dxfId="117" priority="86" stopIfTrue="1">
      <formula>IF(AND(COUNTIF(MetalSmelter,B85&amp;C85)=0,LEN(C85)&gt;0),TRUE,FALSE)</formula>
    </cfRule>
  </conditionalFormatting>
  <conditionalFormatting sqref="C85:C87">
    <cfRule type="expression" dxfId="116" priority="81" stopIfTrue="1">
      <formula>IF(AND(B85&lt;&gt;"",C85=""),TRUE)</formula>
    </cfRule>
  </conditionalFormatting>
  <conditionalFormatting sqref="D85:D87">
    <cfRule type="expression" dxfId="115" priority="87" stopIfTrue="1">
      <formula>IF(AND(LEN($C85)&gt;0,AND($C85&lt;&gt;"Smelter Not Listed",ISBLANK($D85))),1,0)</formula>
    </cfRule>
    <cfRule type="expression" dxfId="114" priority="88" stopIfTrue="1">
      <formula>IF(AND(D85="",$C85=$X$4),TRUE)</formula>
    </cfRule>
    <cfRule type="expression" dxfId="113" priority="89" stopIfTrue="1">
      <formula>IF(FIND("!",D85),TRUE)</formula>
    </cfRule>
  </conditionalFormatting>
  <conditionalFormatting sqref="E85:E87 R85:R87">
    <cfRule type="expression" dxfId="112" priority="84" stopIfTrue="1">
      <formula>IF(AND(E85="",$C85=$X$4),TRUE)</formula>
    </cfRule>
    <cfRule type="expression" dxfId="111" priority="85" stopIfTrue="1">
      <formula>IF(FIND("!",E85),TRUE)</formula>
    </cfRule>
  </conditionalFormatting>
  <conditionalFormatting sqref="F85:F87">
    <cfRule type="expression" dxfId="110" priority="82" stopIfTrue="1">
      <formula>IF(AND(LEN($A85)&gt;0,$A85&lt;&gt;$F85),TRUE,FALSE)</formula>
    </cfRule>
  </conditionalFormatting>
  <conditionalFormatting sqref="G85:G87">
    <cfRule type="expression" dxfId="109" priority="90" stopIfTrue="1">
      <formula>IF(FIND("Enter smelter details",G85),TRUE)</formula>
    </cfRule>
  </conditionalFormatting>
  <conditionalFormatting sqref="B5">
    <cfRule type="expression" dxfId="108" priority="73" stopIfTrue="1">
      <formula>IF(B5="",TRUE)</formula>
    </cfRule>
    <cfRule type="expression" dxfId="107" priority="76" stopIfTrue="1">
      <formula>IF(AND(COUNTIF(MetalSmelter,B5&amp;C5)=0,LEN(C5)&gt;0),TRUE,FALSE)</formula>
    </cfRule>
  </conditionalFormatting>
  <conditionalFormatting sqref="C5">
    <cfRule type="expression" dxfId="106" priority="71" stopIfTrue="1">
      <formula>IF(AND(B5&lt;&gt;"",C5=""),TRUE)</formula>
    </cfRule>
  </conditionalFormatting>
  <conditionalFormatting sqref="D5">
    <cfRule type="expression" dxfId="105" priority="77" stopIfTrue="1">
      <formula>IF(AND(LEN($C5)&gt;0,AND($C5&lt;&gt;"Smelter Not Listed",ISBLANK($D5))),1,0)</formula>
    </cfRule>
    <cfRule type="expression" dxfId="104" priority="78" stopIfTrue="1">
      <formula>IF(AND(D5="",$C5=$X$4),TRUE)</formula>
    </cfRule>
    <cfRule type="expression" dxfId="103" priority="79" stopIfTrue="1">
      <formula>IF(FIND("!",D5),TRUE)</formula>
    </cfRule>
  </conditionalFormatting>
  <conditionalFormatting sqref="E5 R5">
    <cfRule type="expression" dxfId="102" priority="74" stopIfTrue="1">
      <formula>IF(AND(E5="",$C5=$X$4),TRUE)</formula>
    </cfRule>
    <cfRule type="expression" dxfId="101" priority="75" stopIfTrue="1">
      <formula>IF(FIND("!",E5),TRUE)</formula>
    </cfRule>
  </conditionalFormatting>
  <conditionalFormatting sqref="F5">
    <cfRule type="expression" dxfId="100" priority="72" stopIfTrue="1">
      <formula>IF(AND(LEN($A5)&gt;0,$A5&lt;&gt;$F5),TRUE,FALSE)</formula>
    </cfRule>
  </conditionalFormatting>
  <conditionalFormatting sqref="G5">
    <cfRule type="expression" dxfId="99" priority="80" stopIfTrue="1">
      <formula>IF(FIND("Enter smelter details",G5),TRUE)</formula>
    </cfRule>
  </conditionalFormatting>
  <conditionalFormatting sqref="B6:B13">
    <cfRule type="expression" dxfId="98" priority="63" stopIfTrue="1">
      <formula>IF(B6="",TRUE)</formula>
    </cfRule>
    <cfRule type="expression" dxfId="97" priority="66" stopIfTrue="1">
      <formula>IF(AND(COUNTIF(MetalSmelter,B6&amp;C6)=0,LEN(C6)&gt;0),TRUE,FALSE)</formula>
    </cfRule>
  </conditionalFormatting>
  <conditionalFormatting sqref="C6:C13">
    <cfRule type="expression" dxfId="96" priority="61" stopIfTrue="1">
      <formula>IF(AND(B6&lt;&gt;"",C6=""),TRUE)</formula>
    </cfRule>
  </conditionalFormatting>
  <conditionalFormatting sqref="D6:D13">
    <cfRule type="expression" dxfId="95" priority="67" stopIfTrue="1">
      <formula>IF(AND(LEN($C6)&gt;0,AND($C6&lt;&gt;"Smelter Not Listed",ISBLANK($D6))),1,0)</formula>
    </cfRule>
    <cfRule type="expression" dxfId="94" priority="68" stopIfTrue="1">
      <formula>IF(AND(D6="",$C6=$X$4),TRUE)</formula>
    </cfRule>
    <cfRule type="expression" dxfId="93" priority="69" stopIfTrue="1">
      <formula>IF(FIND("!",D6),TRUE)</formula>
    </cfRule>
  </conditionalFormatting>
  <conditionalFormatting sqref="E6:E13 R6:R13">
    <cfRule type="expression" dxfId="92" priority="64" stopIfTrue="1">
      <formula>IF(AND(E6="",$C6=$X$4),TRUE)</formula>
    </cfRule>
    <cfRule type="expression" dxfId="91" priority="65" stopIfTrue="1">
      <formula>IF(FIND("!",E6),TRUE)</formula>
    </cfRule>
  </conditionalFormatting>
  <conditionalFormatting sqref="F6:F13">
    <cfRule type="expression" dxfId="90" priority="62" stopIfTrue="1">
      <formula>IF(AND(LEN($A6)&gt;0,$A6&lt;&gt;$F6),TRUE,FALSE)</formula>
    </cfRule>
  </conditionalFormatting>
  <conditionalFormatting sqref="G6:G13">
    <cfRule type="expression" dxfId="89" priority="70" stopIfTrue="1">
      <formula>IF(FIND("Enter smelter details",G6),TRUE)</formula>
    </cfRule>
  </conditionalFormatting>
  <conditionalFormatting sqref="B14:B39">
    <cfRule type="expression" dxfId="88" priority="53" stopIfTrue="1">
      <formula>IF(B14="",TRUE)</formula>
    </cfRule>
    <cfRule type="expression" dxfId="87" priority="56" stopIfTrue="1">
      <formula>IF(AND(COUNTIF(MetalSmelter,B14&amp;C14)=0,LEN(C14)&gt;0),TRUE,FALSE)</formula>
    </cfRule>
  </conditionalFormatting>
  <conditionalFormatting sqref="C14:C39">
    <cfRule type="expression" dxfId="86" priority="51" stopIfTrue="1">
      <formula>IF(AND(B14&lt;&gt;"",C14=""),TRUE)</formula>
    </cfRule>
  </conditionalFormatting>
  <conditionalFormatting sqref="D14:D39">
    <cfRule type="expression" dxfId="85" priority="57" stopIfTrue="1">
      <formula>IF(AND(LEN($C14)&gt;0,AND($C14&lt;&gt;"Smelter Not Listed",ISBLANK($D14))),1,0)</formula>
    </cfRule>
    <cfRule type="expression" dxfId="84" priority="58" stopIfTrue="1">
      <formula>IF(AND(D14="",$C14=$X$4),TRUE)</formula>
    </cfRule>
    <cfRule type="expression" dxfId="83" priority="59" stopIfTrue="1">
      <formula>IF(FIND("!",D14),TRUE)</formula>
    </cfRule>
  </conditionalFormatting>
  <conditionalFormatting sqref="E14:E39 R14:R39">
    <cfRule type="expression" dxfId="82" priority="54" stopIfTrue="1">
      <formula>IF(AND(E14="",$C14=$X$4),TRUE)</formula>
    </cfRule>
    <cfRule type="expression" dxfId="81" priority="55" stopIfTrue="1">
      <formula>IF(FIND("!",E14),TRUE)</formula>
    </cfRule>
  </conditionalFormatting>
  <conditionalFormatting sqref="F14:F39">
    <cfRule type="expression" dxfId="80" priority="52" stopIfTrue="1">
      <formula>IF(AND(LEN($A14)&gt;0,$A14&lt;&gt;$F14),TRUE,FALSE)</formula>
    </cfRule>
  </conditionalFormatting>
  <conditionalFormatting sqref="G14:G39">
    <cfRule type="expression" dxfId="79" priority="60" stopIfTrue="1">
      <formula>IF(FIND("Enter smelter details",G14),TRUE)</formula>
    </cfRule>
  </conditionalFormatting>
  <conditionalFormatting sqref="B40:B73">
    <cfRule type="expression" dxfId="78" priority="43" stopIfTrue="1">
      <formula>IF(B40="",TRUE)</formula>
    </cfRule>
    <cfRule type="expression" dxfId="77" priority="46" stopIfTrue="1">
      <formula>IF(AND(COUNTIF(MetalSmelter,B40&amp;C40)=0,LEN(C40)&gt;0),TRUE,FALSE)</formula>
    </cfRule>
  </conditionalFormatting>
  <conditionalFormatting sqref="C40:C73">
    <cfRule type="expression" dxfId="76" priority="41" stopIfTrue="1">
      <formula>IF(AND(B40&lt;&gt;"",C40=""),TRUE)</formula>
    </cfRule>
  </conditionalFormatting>
  <conditionalFormatting sqref="D40:D73">
    <cfRule type="expression" dxfId="75" priority="47" stopIfTrue="1">
      <formula>IF(AND(LEN($C40)&gt;0,AND($C40&lt;&gt;"Smelter Not Listed",ISBLANK($D40))),1,0)</formula>
    </cfRule>
    <cfRule type="expression" dxfId="74" priority="48" stopIfTrue="1">
      <formula>IF(AND(D40="",$C40=$X$4),TRUE)</formula>
    </cfRule>
    <cfRule type="expression" dxfId="73" priority="49" stopIfTrue="1">
      <formula>IF(FIND("!",D40),TRUE)</formula>
    </cfRule>
  </conditionalFormatting>
  <conditionalFormatting sqref="E40:E73 R40:R73">
    <cfRule type="expression" dxfId="72" priority="44" stopIfTrue="1">
      <formula>IF(AND(E40="",$C40=$X$4),TRUE)</formula>
    </cfRule>
    <cfRule type="expression" dxfId="71" priority="45" stopIfTrue="1">
      <formula>IF(FIND("!",E40),TRUE)</formula>
    </cfRule>
  </conditionalFormatting>
  <conditionalFormatting sqref="F40:F73">
    <cfRule type="expression" dxfId="70" priority="42" stopIfTrue="1">
      <formula>IF(AND(LEN($A40)&gt;0,$A40&lt;&gt;$F40),TRUE,FALSE)</formula>
    </cfRule>
  </conditionalFormatting>
  <conditionalFormatting sqref="G40:G73">
    <cfRule type="expression" dxfId="69" priority="50" stopIfTrue="1">
      <formula>IF(FIND("Enter smelter details",G40),TRUE)</formula>
    </cfRule>
  </conditionalFormatting>
  <conditionalFormatting sqref="B74:B79">
    <cfRule type="expression" dxfId="68" priority="33" stopIfTrue="1">
      <formula>IF(B74="",TRUE)</formula>
    </cfRule>
    <cfRule type="expression" dxfId="67" priority="36" stopIfTrue="1">
      <formula>IF(AND(COUNTIF(MetalSmelter,B74&amp;C74)=0,LEN(C74)&gt;0),TRUE,FALSE)</formula>
    </cfRule>
  </conditionalFormatting>
  <conditionalFormatting sqref="C74:C79">
    <cfRule type="expression" dxfId="66" priority="31" stopIfTrue="1">
      <formula>IF(AND(B74&lt;&gt;"",C74=""),TRUE)</formula>
    </cfRule>
  </conditionalFormatting>
  <conditionalFormatting sqref="D74:D79">
    <cfRule type="expression" dxfId="65" priority="37" stopIfTrue="1">
      <formula>IF(AND(LEN($C74)&gt;0,AND($C74&lt;&gt;"Smelter Not Listed",ISBLANK($D74))),1,0)</formula>
    </cfRule>
    <cfRule type="expression" dxfId="64" priority="38" stopIfTrue="1">
      <formula>IF(AND(D74="",$C74=$X$4),TRUE)</formula>
    </cfRule>
    <cfRule type="expression" dxfId="63" priority="39" stopIfTrue="1">
      <formula>IF(FIND("!",D74),TRUE)</formula>
    </cfRule>
  </conditionalFormatting>
  <conditionalFormatting sqref="E74:E79 R74:R79">
    <cfRule type="expression" dxfId="62" priority="34" stopIfTrue="1">
      <formula>IF(AND(E74="",$C74=$X$4),TRUE)</formula>
    </cfRule>
    <cfRule type="expression" dxfId="61" priority="35" stopIfTrue="1">
      <formula>IF(FIND("!",E74),TRUE)</formula>
    </cfRule>
  </conditionalFormatting>
  <conditionalFormatting sqref="F74:F79">
    <cfRule type="expression" dxfId="60" priority="32" stopIfTrue="1">
      <formula>IF(AND(LEN($A74)&gt;0,$A74&lt;&gt;$F74),TRUE,FALSE)</formula>
    </cfRule>
  </conditionalFormatting>
  <conditionalFormatting sqref="G74:G79">
    <cfRule type="expression" dxfId="59" priority="40" stopIfTrue="1">
      <formula>IF(FIND("Enter smelter details",G74),TRUE)</formula>
    </cfRule>
  </conditionalFormatting>
  <conditionalFormatting sqref="B84">
    <cfRule type="expression" dxfId="58" priority="23" stopIfTrue="1">
      <formula>IF(B84="",TRUE)</formula>
    </cfRule>
    <cfRule type="expression" dxfId="57" priority="26" stopIfTrue="1">
      <formula>IF(AND(COUNTIF(MetalSmelter,B84&amp;C84)=0,LEN(C84)&gt;0),TRUE,FALSE)</formula>
    </cfRule>
  </conditionalFormatting>
  <conditionalFormatting sqref="C84">
    <cfRule type="expression" dxfId="56" priority="21" stopIfTrue="1">
      <formula>IF(AND(B84&lt;&gt;"",C84=""),TRUE)</formula>
    </cfRule>
  </conditionalFormatting>
  <conditionalFormatting sqref="D84">
    <cfRule type="expression" dxfId="55" priority="27" stopIfTrue="1">
      <formula>IF(AND(LEN($C84)&gt;0,AND($C84&lt;&gt;"Smelter Not Listed",ISBLANK($D84))),1,0)</formula>
    </cfRule>
    <cfRule type="expression" dxfId="54" priority="28" stopIfTrue="1">
      <formula>IF(AND(D84="",$C84=$X$4),TRUE)</formula>
    </cfRule>
    <cfRule type="expression" dxfId="53" priority="29" stopIfTrue="1">
      <formula>IF(FIND("!",D84),TRUE)</formula>
    </cfRule>
  </conditionalFormatting>
  <conditionalFormatting sqref="E84 R80:R84">
    <cfRule type="expression" dxfId="52" priority="24" stopIfTrue="1">
      <formula>IF(AND(E80="",$C80=$X$4),TRUE)</formula>
    </cfRule>
    <cfRule type="expression" dxfId="51" priority="25" stopIfTrue="1">
      <formula>IF(FIND("!",E80),TRUE)</formula>
    </cfRule>
  </conditionalFormatting>
  <conditionalFormatting sqref="F84">
    <cfRule type="expression" dxfId="50" priority="22" stopIfTrue="1">
      <formula>IF(AND(LEN($A84)&gt;0,$A84&lt;&gt;$F84),TRUE,FALSE)</formula>
    </cfRule>
  </conditionalFormatting>
  <conditionalFormatting sqref="G84">
    <cfRule type="expression" dxfId="49" priority="30" stopIfTrue="1">
      <formula>IF(FIND("Enter smelter details",G84),TRUE)</formula>
    </cfRule>
  </conditionalFormatting>
  <conditionalFormatting sqref="B80:B83">
    <cfRule type="expression" dxfId="48" priority="13" stopIfTrue="1">
      <formula>IF(B80="",TRUE)</formula>
    </cfRule>
    <cfRule type="expression" dxfId="47" priority="16" stopIfTrue="1">
      <formula>IF(AND(COUNTIF(MetalSmelter,B80&amp;C80)=0,LEN(C80)&gt;0),TRUE,FALSE)</formula>
    </cfRule>
  </conditionalFormatting>
  <conditionalFormatting sqref="C80:C83">
    <cfRule type="expression" dxfId="46" priority="11" stopIfTrue="1">
      <formula>IF(AND(B80&lt;&gt;"",C80=""),TRUE)</formula>
    </cfRule>
  </conditionalFormatting>
  <conditionalFormatting sqref="D80:D83">
    <cfRule type="expression" dxfId="45" priority="17" stopIfTrue="1">
      <formula>IF(AND(LEN($C80)&gt;0,AND($C80&lt;&gt;"Smelter Not Listed",ISBLANK($D80))),1,0)</formula>
    </cfRule>
    <cfRule type="expression" dxfId="44" priority="18" stopIfTrue="1">
      <formula>IF(AND(D80="",$C80=$X$4),TRUE)</formula>
    </cfRule>
    <cfRule type="expression" dxfId="43" priority="19" stopIfTrue="1">
      <formula>IF(FIND("!",D80),TRUE)</formula>
    </cfRule>
  </conditionalFormatting>
  <conditionalFormatting sqref="E80:E83">
    <cfRule type="expression" dxfId="42" priority="14" stopIfTrue="1">
      <formula>IF(AND(E80="",$C80=$X$4),TRUE)</formula>
    </cfRule>
    <cfRule type="expression" dxfId="41" priority="15" stopIfTrue="1">
      <formula>IF(FIND("!",E80),TRUE)</formula>
    </cfRule>
  </conditionalFormatting>
  <conditionalFormatting sqref="F80:F83">
    <cfRule type="expression" dxfId="40" priority="12" stopIfTrue="1">
      <formula>IF(AND(LEN($A80)&gt;0,$A80&lt;&gt;$F80),TRUE,FALSE)</formula>
    </cfRule>
  </conditionalFormatting>
  <conditionalFormatting sqref="G80:G83">
    <cfRule type="expression" dxfId="39" priority="20" stopIfTrue="1">
      <formula>IF(FIND("Enter smelter details",G80),TRUE)</formula>
    </cfRule>
  </conditionalFormatting>
  <conditionalFormatting sqref="B88:B137">
    <cfRule type="expression" dxfId="38" priority="3" stopIfTrue="1">
      <formula>IF(B88="",TRUE)</formula>
    </cfRule>
    <cfRule type="expression" dxfId="37" priority="6" stopIfTrue="1">
      <formula>IF(AND(COUNTIF(MetalSmelter,B88&amp;C88)=0,LEN(C88)&gt;0),TRUE,FALSE)</formula>
    </cfRule>
  </conditionalFormatting>
  <conditionalFormatting sqref="C88:C137">
    <cfRule type="expression" dxfId="36" priority="1" stopIfTrue="1">
      <formula>IF(AND(B88&lt;&gt;"",C88=""),TRUE)</formula>
    </cfRule>
  </conditionalFormatting>
  <conditionalFormatting sqref="D88:D137">
    <cfRule type="expression" dxfId="35" priority="7" stopIfTrue="1">
      <formula>IF(AND(LEN($C88)&gt;0,AND($C88&lt;&gt;"Smelter Not Listed",ISBLANK($D88))),1,0)</formula>
    </cfRule>
    <cfRule type="expression" dxfId="34" priority="8" stopIfTrue="1">
      <formula>IF(AND(D88="",$C88=$X$4),TRUE)</formula>
    </cfRule>
    <cfRule type="expression" dxfId="33" priority="9" stopIfTrue="1">
      <formula>IF(FIND("!",D88),TRUE)</formula>
    </cfRule>
  </conditionalFormatting>
  <conditionalFormatting sqref="E88:E137 R88:R137">
    <cfRule type="expression" dxfId="32" priority="4" stopIfTrue="1">
      <formula>IF(AND(E88="",$C88=$X$4),TRUE)</formula>
    </cfRule>
    <cfRule type="expression" dxfId="31" priority="5" stopIfTrue="1">
      <formula>IF(FIND("!",E88),TRUE)</formula>
    </cfRule>
  </conditionalFormatting>
  <conditionalFormatting sqref="F88:F137">
    <cfRule type="expression" dxfId="30" priority="2" stopIfTrue="1">
      <formula>IF(AND(LEN($A88)&gt;0,$A88&lt;&gt;$F88),TRUE,FALSE)</formula>
    </cfRule>
  </conditionalFormatting>
  <conditionalFormatting sqref="G88:G137">
    <cfRule type="expression" dxfId="29" priority="10" stopIfTrue="1">
      <formula>IF(FIND("Enter smelter details",G88),TRUE)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6" stopIfTrue="1" id="{3A2C08C1-A3CB-4039-99D1-6146192A6F94}">
            <xm:f>IF(OR(AND(B138="Tantalum",Declaration!$P$38=""),AND(B138="Tin",Declaration!$P$39=""),AND(B138="Gold",Declaration!$P$40=""),AND(B138="Tungsten",Declaration!$P$41="")),TRUE,FALSE)</xm:f>
            <x14:dxf>
              <fill>
                <patternFill>
                  <bgColor rgb="FFFF0000"/>
                </patternFill>
              </fill>
            </x14:dxf>
          </x14:cfRule>
          <xm:sqref>B138:B2504</xm:sqref>
        </x14:conditionalFormatting>
        <x14:conditionalFormatting xmlns:xm="http://schemas.microsoft.com/office/excel/2006/main">
          <x14:cfRule type="expression" priority="94" stopIfTrue="1" id="{4DF03B03-3E0F-40B2-A5D1-B1DA6639A4FD}">
            <xm:f>IF(OR(AND(B138="Tantalum",Declaration!$P$38=""),AND(B138="Tin",Declaration!$P$39=""),AND(B138="Gold",Declaration!$P$40=""),AND(B138="Tungsten",Declaration!$P$41="")),TRUE,FALSE)</xm:f>
            <x14:dxf>
              <fill>
                <patternFill>
                  <bgColor rgb="FFFF0000"/>
                </patternFill>
              </fill>
            </x14:dxf>
          </x14:cfRule>
          <xm:sqref>C138:C2504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MGB France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bar turning company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Damien GUIDO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d.guido@mgb.fr</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00 33 450 182 770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Damien GUIDO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d.guido@mgb.fr</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6" priority="347" stopIfTrue="1">
      <formula>$F4=0</formula>
    </cfRule>
    <cfRule type="expression" dxfId="25" priority="348" stopIfTrue="1">
      <formula>$H4=0</formula>
    </cfRule>
    <cfRule type="expression" dxfId="24" priority="349" stopIfTrue="1">
      <formula>$H4=1</formula>
    </cfRule>
  </conditionalFormatting>
  <conditionalFormatting sqref="A5:A13">
    <cfRule type="expression" dxfId="23" priority="49" stopIfTrue="1">
      <formula>$F5=0</formula>
    </cfRule>
    <cfRule type="expression" dxfId="22" priority="50" stopIfTrue="1">
      <formula>AND($F5=1,$G5=0)</formula>
    </cfRule>
    <cfRule type="expression" dxfId="21" priority="51" stopIfTrue="1">
      <formula>AND($F5&lt;&gt;0,$G5&lt;&gt;0)</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B69">
    <cfRule type="expression" dxfId="17" priority="1" stopIfTrue="1">
      <formula>IF(F65=0,TRUE)</formula>
    </cfRule>
  </conditionalFormatting>
  <conditionalFormatting sqref="D56">
    <cfRule type="expression" dxfId="16"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888</v>
      </c>
      <c r="C4" s="398"/>
      <c r="D4" s="39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1" t="str">
        <f ca="1">OFFSET(L!$C$1,MATCH("General"&amp;"Cpy",L!$A:$A,0)-1,SL,,)</f>
        <v>© 2024 Responsible Minerals Initiative. All rights reserved.</v>
      </c>
      <c r="C2006" s="401"/>
      <c r="D2006" s="401"/>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profil_defaut</cp:lastModifiedBy>
  <cp:lastPrinted>2015-04-21T20:47:43Z</cp:lastPrinted>
  <dcterms:created xsi:type="dcterms:W3CDTF">2010-06-21T21:00:23Z</dcterms:created>
  <dcterms:modified xsi:type="dcterms:W3CDTF">2025-02-04T13:54:41Z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